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420" yWindow="-120" windowWidth="18630" windowHeight="11745" tabRatio="867" activeTab="2"/>
  </bookViews>
  <sheets>
    <sheet name="ISOR Case" sheetId="26" r:id="rId1"/>
    <sheet name="April 3 Workshop Case" sheetId="50" r:id="rId2"/>
    <sheet name="Scenario w Prop. 15day Changes" sheetId="57" r:id="rId3"/>
  </sheets>
  <calcPr calcId="145621"/>
</workbook>
</file>

<file path=xl/calcChain.xml><?xml version="1.0" encoding="utf-8"?>
<calcChain xmlns="http://schemas.openxmlformats.org/spreadsheetml/2006/main">
  <c r="F59" i="57" l="1"/>
  <c r="I59" i="57" s="1"/>
  <c r="G59" i="57"/>
  <c r="H59" i="57"/>
  <c r="J59" i="57"/>
  <c r="K59" i="57"/>
  <c r="L59" i="57"/>
  <c r="N59" i="57"/>
  <c r="O59" i="57"/>
  <c r="M59" i="57" l="1"/>
  <c r="C3" i="57"/>
  <c r="O116" i="57"/>
  <c r="N116" i="57"/>
  <c r="M116" i="57"/>
  <c r="L116" i="57"/>
  <c r="K116" i="57"/>
  <c r="J116" i="57"/>
  <c r="I116" i="57"/>
  <c r="H116" i="57"/>
  <c r="G116" i="57"/>
  <c r="F116" i="57"/>
  <c r="E116" i="57"/>
  <c r="D116" i="57"/>
  <c r="O115" i="57"/>
  <c r="N115" i="57"/>
  <c r="M115" i="57"/>
  <c r="L115" i="57"/>
  <c r="K115" i="57"/>
  <c r="J115" i="57"/>
  <c r="I115" i="57"/>
  <c r="H115" i="57"/>
  <c r="G115" i="57"/>
  <c r="F115" i="57"/>
  <c r="E115" i="57"/>
  <c r="D115" i="57"/>
  <c r="D84" i="57" s="1"/>
  <c r="O114" i="57"/>
  <c r="N114" i="57"/>
  <c r="M114" i="57"/>
  <c r="L114" i="57"/>
  <c r="K114" i="57"/>
  <c r="J114" i="57"/>
  <c r="I114" i="57"/>
  <c r="H114" i="57"/>
  <c r="G114" i="57"/>
  <c r="F114" i="57"/>
  <c r="E114" i="57"/>
  <c r="D114" i="57"/>
  <c r="O113" i="57"/>
  <c r="N113" i="57"/>
  <c r="M113" i="57"/>
  <c r="L113" i="57"/>
  <c r="K113" i="57"/>
  <c r="J113" i="57"/>
  <c r="I113" i="57"/>
  <c r="H113" i="57"/>
  <c r="G113" i="57"/>
  <c r="F113" i="57"/>
  <c r="E113" i="57"/>
  <c r="D113" i="57"/>
  <c r="D82" i="57" s="1"/>
  <c r="O112" i="57"/>
  <c r="N112" i="57"/>
  <c r="M112" i="57"/>
  <c r="L112" i="57"/>
  <c r="K112" i="57"/>
  <c r="J112" i="57"/>
  <c r="I112" i="57"/>
  <c r="H112" i="57"/>
  <c r="G112" i="57"/>
  <c r="F112" i="57"/>
  <c r="E112" i="57"/>
  <c r="D112" i="57"/>
  <c r="O111" i="57"/>
  <c r="N111" i="57"/>
  <c r="M111" i="57"/>
  <c r="L111" i="57"/>
  <c r="K111" i="57"/>
  <c r="J111" i="57"/>
  <c r="I111" i="57"/>
  <c r="H111" i="57"/>
  <c r="G111" i="57"/>
  <c r="F111" i="57"/>
  <c r="E111" i="57"/>
  <c r="D111" i="57"/>
  <c r="D80" i="57" s="1"/>
  <c r="D85" i="57" s="1"/>
  <c r="O108" i="57"/>
  <c r="N108" i="57"/>
  <c r="M108" i="57"/>
  <c r="L108" i="57"/>
  <c r="K108" i="57"/>
  <c r="J108" i="57"/>
  <c r="I108" i="57"/>
  <c r="H108" i="57"/>
  <c r="G108" i="57"/>
  <c r="F108" i="57"/>
  <c r="E108" i="57"/>
  <c r="D108" i="57"/>
  <c r="O106" i="57"/>
  <c r="N106" i="57"/>
  <c r="M106" i="57"/>
  <c r="L106" i="57"/>
  <c r="K106" i="57"/>
  <c r="J106" i="57"/>
  <c r="I106" i="57"/>
  <c r="H106" i="57"/>
  <c r="G106" i="57"/>
  <c r="F106" i="57"/>
  <c r="E106" i="57"/>
  <c r="D106" i="57"/>
  <c r="O105" i="57"/>
  <c r="N105" i="57"/>
  <c r="M105" i="57"/>
  <c r="L105" i="57"/>
  <c r="K105" i="57"/>
  <c r="J105" i="57"/>
  <c r="I105" i="57"/>
  <c r="H105" i="57"/>
  <c r="G105" i="57"/>
  <c r="F105" i="57"/>
  <c r="E105" i="57"/>
  <c r="D105" i="57"/>
  <c r="D74" i="57" s="1"/>
  <c r="O104" i="57"/>
  <c r="N104" i="57"/>
  <c r="M104" i="57"/>
  <c r="L104" i="57"/>
  <c r="K104" i="57"/>
  <c r="J104" i="57"/>
  <c r="I104" i="57"/>
  <c r="H104" i="57"/>
  <c r="G104" i="57"/>
  <c r="F104" i="57"/>
  <c r="E104" i="57"/>
  <c r="D104" i="57"/>
  <c r="O103" i="57"/>
  <c r="N103" i="57"/>
  <c r="M103" i="57"/>
  <c r="L103" i="57"/>
  <c r="K103" i="57"/>
  <c r="J103" i="57"/>
  <c r="I103" i="57"/>
  <c r="H103" i="57"/>
  <c r="G103" i="57"/>
  <c r="F103" i="57"/>
  <c r="E103" i="57"/>
  <c r="D103" i="57"/>
  <c r="D72" i="57" s="1"/>
  <c r="O102" i="57"/>
  <c r="N102" i="57"/>
  <c r="M102" i="57"/>
  <c r="L102" i="57"/>
  <c r="K102" i="57"/>
  <c r="J102" i="57"/>
  <c r="I102" i="57"/>
  <c r="H102" i="57"/>
  <c r="G102" i="57"/>
  <c r="F102" i="57"/>
  <c r="E102" i="57"/>
  <c r="D102" i="57"/>
  <c r="O101" i="57"/>
  <c r="O70" i="57" s="1"/>
  <c r="N101" i="57"/>
  <c r="M101" i="57"/>
  <c r="L101" i="57"/>
  <c r="K101" i="57"/>
  <c r="J101" i="57"/>
  <c r="I101" i="57"/>
  <c r="H101" i="57"/>
  <c r="G101" i="57"/>
  <c r="F101" i="57"/>
  <c r="E101" i="57"/>
  <c r="D101" i="57"/>
  <c r="O100" i="57"/>
  <c r="N100" i="57"/>
  <c r="M100" i="57"/>
  <c r="L100" i="57"/>
  <c r="K100" i="57"/>
  <c r="J100" i="57"/>
  <c r="I100" i="57"/>
  <c r="H100" i="57"/>
  <c r="G100" i="57"/>
  <c r="F100" i="57"/>
  <c r="E100" i="57"/>
  <c r="D100" i="57"/>
  <c r="O99" i="57"/>
  <c r="N99" i="57"/>
  <c r="M99" i="57"/>
  <c r="L99" i="57"/>
  <c r="K99" i="57"/>
  <c r="J99" i="57"/>
  <c r="I99" i="57"/>
  <c r="H99" i="57"/>
  <c r="G99" i="57"/>
  <c r="F99" i="57"/>
  <c r="E99" i="57"/>
  <c r="D99" i="57"/>
  <c r="O98" i="57"/>
  <c r="N98" i="57"/>
  <c r="M98" i="57"/>
  <c r="L98" i="57"/>
  <c r="K98" i="57"/>
  <c r="J98" i="57"/>
  <c r="I98" i="57"/>
  <c r="H98" i="57"/>
  <c r="G98" i="57"/>
  <c r="F98" i="57"/>
  <c r="E98" i="57"/>
  <c r="D98" i="57"/>
  <c r="O97" i="57"/>
  <c r="N97" i="57"/>
  <c r="M97" i="57"/>
  <c r="L97" i="57"/>
  <c r="K97" i="57"/>
  <c r="J97" i="57"/>
  <c r="I97" i="57"/>
  <c r="H97" i="57"/>
  <c r="G97" i="57"/>
  <c r="F97" i="57"/>
  <c r="E97" i="57"/>
  <c r="D97" i="57"/>
  <c r="O96" i="57"/>
  <c r="N96" i="57"/>
  <c r="M96" i="57"/>
  <c r="L96" i="57"/>
  <c r="K96" i="57"/>
  <c r="K65" i="57" s="1"/>
  <c r="J96" i="57"/>
  <c r="I96" i="57"/>
  <c r="H96" i="57"/>
  <c r="G96" i="57"/>
  <c r="F96" i="57"/>
  <c r="E96" i="57"/>
  <c r="D96" i="57"/>
  <c r="E84" i="57"/>
  <c r="E83" i="57"/>
  <c r="D83" i="57"/>
  <c r="E82" i="57"/>
  <c r="E81" i="57"/>
  <c r="D81" i="57"/>
  <c r="E80" i="57"/>
  <c r="E85" i="57" s="1"/>
  <c r="E75" i="57"/>
  <c r="D75" i="57"/>
  <c r="E74" i="57"/>
  <c r="E73" i="57"/>
  <c r="D73" i="57"/>
  <c r="C73" i="57"/>
  <c r="E72" i="57"/>
  <c r="E71" i="57"/>
  <c r="D71" i="57"/>
  <c r="E70" i="57"/>
  <c r="D70" i="57"/>
  <c r="E69" i="57"/>
  <c r="D69" i="57"/>
  <c r="E68" i="57"/>
  <c r="D68" i="57"/>
  <c r="E67" i="57"/>
  <c r="D67" i="57"/>
  <c r="E66" i="57"/>
  <c r="D66" i="57"/>
  <c r="E65" i="57"/>
  <c r="D65" i="57"/>
  <c r="O61" i="57"/>
  <c r="N61" i="57"/>
  <c r="M61" i="57"/>
  <c r="L61" i="57"/>
  <c r="K61" i="57"/>
  <c r="J61" i="57"/>
  <c r="I61" i="57"/>
  <c r="H61" i="57"/>
  <c r="G61" i="57"/>
  <c r="F61" i="57"/>
  <c r="G60" i="57"/>
  <c r="H60" i="57" s="1"/>
  <c r="I60" i="57" s="1"/>
  <c r="J60" i="57" s="1"/>
  <c r="K60" i="57" s="1"/>
  <c r="L60" i="57" s="1"/>
  <c r="O47" i="57"/>
  <c r="N47" i="57"/>
  <c r="M47" i="57"/>
  <c r="L47" i="57"/>
  <c r="L67" i="57" s="1"/>
  <c r="K47" i="57"/>
  <c r="J47" i="57"/>
  <c r="I47" i="57"/>
  <c r="H47" i="57"/>
  <c r="G47" i="57"/>
  <c r="F47" i="57"/>
  <c r="G46" i="57"/>
  <c r="H46" i="57" s="1"/>
  <c r="I46" i="57" s="1"/>
  <c r="J46" i="57" s="1"/>
  <c r="K46" i="57" s="1"/>
  <c r="O38" i="57"/>
  <c r="N38" i="57"/>
  <c r="M38" i="57"/>
  <c r="L38" i="57"/>
  <c r="K38" i="57"/>
  <c r="J38" i="57"/>
  <c r="I38" i="57"/>
  <c r="H38" i="57"/>
  <c r="G38" i="57"/>
  <c r="F38" i="57"/>
  <c r="E38" i="57"/>
  <c r="D38" i="57"/>
  <c r="O37" i="57"/>
  <c r="N37" i="57"/>
  <c r="M37" i="57"/>
  <c r="L37" i="57"/>
  <c r="K37" i="57"/>
  <c r="J37" i="57"/>
  <c r="I37" i="57"/>
  <c r="H37" i="57"/>
  <c r="G37" i="57"/>
  <c r="F37" i="57"/>
  <c r="E37" i="57"/>
  <c r="D37" i="57"/>
  <c r="O36" i="57"/>
  <c r="N36" i="57"/>
  <c r="M36" i="57"/>
  <c r="L36" i="57"/>
  <c r="K36" i="57"/>
  <c r="J36" i="57"/>
  <c r="I36" i="57"/>
  <c r="H36" i="57"/>
  <c r="G36" i="57"/>
  <c r="F36" i="57"/>
  <c r="E36" i="57"/>
  <c r="O25" i="57"/>
  <c r="N25" i="57"/>
  <c r="M25" i="57"/>
  <c r="L25" i="57"/>
  <c r="K25" i="57"/>
  <c r="J25" i="57"/>
  <c r="I25" i="57"/>
  <c r="H25" i="57"/>
  <c r="G25" i="57"/>
  <c r="F25" i="57"/>
  <c r="E25" i="57"/>
  <c r="D25" i="57"/>
  <c r="M67" i="57"/>
  <c r="H74" i="57"/>
  <c r="G71" i="57"/>
  <c r="E76" i="57" l="1"/>
  <c r="E89" i="57" s="1"/>
  <c r="G41" i="57"/>
  <c r="G107" i="57"/>
  <c r="G26" i="57" s="1"/>
  <c r="G27" i="57" s="1"/>
  <c r="G28" i="57" s="1"/>
  <c r="O107" i="57"/>
  <c r="O26" i="57" s="1"/>
  <c r="O27" i="57" s="1"/>
  <c r="O28" i="57" s="1"/>
  <c r="K117" i="57"/>
  <c r="K39" i="57" s="1"/>
  <c r="L41" i="57"/>
  <c r="I41" i="57"/>
  <c r="E107" i="57"/>
  <c r="I107" i="57"/>
  <c r="I26" i="57" s="1"/>
  <c r="I27" i="57" s="1"/>
  <c r="I28" i="57" s="1"/>
  <c r="M107" i="57"/>
  <c r="M26" i="57" s="1"/>
  <c r="M27" i="57" s="1"/>
  <c r="M28" i="57" s="1"/>
  <c r="E117" i="57"/>
  <c r="I117" i="57"/>
  <c r="I39" i="57" s="1"/>
  <c r="I40" i="57" s="1"/>
  <c r="M117" i="57"/>
  <c r="M39" i="57" s="1"/>
  <c r="M41" i="57" s="1"/>
  <c r="O41" i="57"/>
  <c r="F107" i="57"/>
  <c r="F26" i="57" s="1"/>
  <c r="F27" i="57" s="1"/>
  <c r="F28" i="57" s="1"/>
  <c r="J107" i="57"/>
  <c r="J26" i="57" s="1"/>
  <c r="J27" i="57" s="1"/>
  <c r="J28" i="57" s="1"/>
  <c r="N107" i="57"/>
  <c r="N26" i="57" s="1"/>
  <c r="N27" i="57" s="1"/>
  <c r="N28" i="57" s="1"/>
  <c r="F117" i="57"/>
  <c r="F39" i="57" s="1"/>
  <c r="F40" i="57" s="1"/>
  <c r="J117" i="57"/>
  <c r="J39" i="57" s="1"/>
  <c r="J40" i="57" s="1"/>
  <c r="N117" i="57"/>
  <c r="N39" i="57" s="1"/>
  <c r="N40" i="57" s="1"/>
  <c r="O117" i="57"/>
  <c r="O39" i="57" s="1"/>
  <c r="K41" i="57"/>
  <c r="K107" i="57"/>
  <c r="K26" i="57" s="1"/>
  <c r="K27" i="57" s="1"/>
  <c r="K28" i="57" s="1"/>
  <c r="G117" i="57"/>
  <c r="G39" i="57" s="1"/>
  <c r="H41" i="57"/>
  <c r="D117" i="57"/>
  <c r="H117" i="57"/>
  <c r="H39" i="57" s="1"/>
  <c r="H40" i="57" s="1"/>
  <c r="L117" i="57"/>
  <c r="L39" i="57" s="1"/>
  <c r="L40" i="57" s="1"/>
  <c r="O67" i="57"/>
  <c r="H69" i="57"/>
  <c r="L65" i="57"/>
  <c r="L71" i="57"/>
  <c r="L72" i="57"/>
  <c r="H73" i="57"/>
  <c r="H75" i="57"/>
  <c r="G65" i="57"/>
  <c r="H67" i="57"/>
  <c r="G68" i="57"/>
  <c r="L73" i="57"/>
  <c r="L74" i="57"/>
  <c r="L75" i="57"/>
  <c r="F3" i="57"/>
  <c r="F77" i="57" s="1"/>
  <c r="J75" i="57"/>
  <c r="H65" i="57"/>
  <c r="H68" i="57"/>
  <c r="G69" i="57"/>
  <c r="K70" i="57"/>
  <c r="L68" i="57"/>
  <c r="L70" i="57"/>
  <c r="H71" i="57"/>
  <c r="H72" i="57"/>
  <c r="M60" i="57"/>
  <c r="N60" i="57" s="1"/>
  <c r="O60" i="57" s="1"/>
  <c r="K66" i="57"/>
  <c r="L46" i="57"/>
  <c r="F74" i="57"/>
  <c r="F73" i="57"/>
  <c r="F71" i="57"/>
  <c r="F69" i="57"/>
  <c r="F67" i="57"/>
  <c r="F66" i="57"/>
  <c r="H86" i="57"/>
  <c r="H84" i="57"/>
  <c r="H83" i="57"/>
  <c r="H82" i="57"/>
  <c r="H81" i="57"/>
  <c r="H80" i="57"/>
  <c r="G40" i="57"/>
  <c r="K40" i="57"/>
  <c r="I75" i="57"/>
  <c r="I74" i="57"/>
  <c r="I73" i="57"/>
  <c r="I68" i="57"/>
  <c r="I70" i="57"/>
  <c r="I72" i="57"/>
  <c r="I69" i="57"/>
  <c r="I65" i="57"/>
  <c r="I71" i="57"/>
  <c r="I67" i="57"/>
  <c r="M75" i="57"/>
  <c r="M74" i="57"/>
  <c r="M73" i="57"/>
  <c r="M68" i="57"/>
  <c r="M72" i="57"/>
  <c r="M71" i="57"/>
  <c r="M70" i="57"/>
  <c r="M65" i="57"/>
  <c r="G86" i="57"/>
  <c r="G84" i="57"/>
  <c r="G83" i="57"/>
  <c r="G82" i="57"/>
  <c r="G81" i="57"/>
  <c r="G80" i="57"/>
  <c r="K86" i="57"/>
  <c r="K84" i="57"/>
  <c r="K83" i="57"/>
  <c r="K82" i="57"/>
  <c r="K81" i="57"/>
  <c r="K80" i="57"/>
  <c r="K69" i="57"/>
  <c r="O86" i="57"/>
  <c r="O84" i="57"/>
  <c r="O83" i="57"/>
  <c r="O82" i="57"/>
  <c r="O81" i="57"/>
  <c r="O80" i="57"/>
  <c r="O69" i="57"/>
  <c r="N41" i="57"/>
  <c r="O40" i="57"/>
  <c r="M40" i="57"/>
  <c r="D76" i="57"/>
  <c r="I66" i="57"/>
  <c r="N75" i="57"/>
  <c r="N74" i="57"/>
  <c r="N73" i="57"/>
  <c r="N72" i="57"/>
  <c r="N71" i="57"/>
  <c r="N70" i="57"/>
  <c r="N68" i="57"/>
  <c r="N67" i="57"/>
  <c r="N65" i="57"/>
  <c r="J74" i="57"/>
  <c r="J73" i="57"/>
  <c r="J72" i="57"/>
  <c r="J70" i="57"/>
  <c r="J68" i="57"/>
  <c r="J67" i="57"/>
  <c r="J65" i="57"/>
  <c r="L84" i="57"/>
  <c r="L83" i="57"/>
  <c r="L82" i="57"/>
  <c r="L81" i="57"/>
  <c r="L80" i="57"/>
  <c r="L86" i="57"/>
  <c r="L69" i="57"/>
  <c r="K75" i="57"/>
  <c r="K74" i="57"/>
  <c r="K73" i="57"/>
  <c r="K72" i="57"/>
  <c r="K71" i="57"/>
  <c r="O75" i="57"/>
  <c r="O74" i="57"/>
  <c r="O73" i="57"/>
  <c r="O72" i="57"/>
  <c r="O71" i="57"/>
  <c r="M86" i="57"/>
  <c r="M84" i="57"/>
  <c r="M83" i="57"/>
  <c r="M82" i="57"/>
  <c r="M81" i="57"/>
  <c r="M80" i="57"/>
  <c r="G66" i="57"/>
  <c r="K67" i="57"/>
  <c r="O68" i="57"/>
  <c r="M69" i="57"/>
  <c r="G70" i="57"/>
  <c r="F84" i="57"/>
  <c r="F83" i="57"/>
  <c r="F82" i="57"/>
  <c r="F81" i="57"/>
  <c r="F80" i="57"/>
  <c r="J86" i="57"/>
  <c r="J84" i="57"/>
  <c r="J83" i="57"/>
  <c r="J82" i="57"/>
  <c r="J81" i="57"/>
  <c r="J80" i="57"/>
  <c r="J69" i="57"/>
  <c r="N86" i="57"/>
  <c r="N84" i="57"/>
  <c r="N83" i="57"/>
  <c r="N82" i="57"/>
  <c r="N81" i="57"/>
  <c r="N80" i="57"/>
  <c r="N69" i="57"/>
  <c r="O65" i="57"/>
  <c r="H66" i="57"/>
  <c r="G67" i="57"/>
  <c r="K68" i="57"/>
  <c r="H70" i="57"/>
  <c r="D107" i="57"/>
  <c r="H107" i="57"/>
  <c r="H26" i="57" s="1"/>
  <c r="H27" i="57" s="1"/>
  <c r="H28" i="57" s="1"/>
  <c r="L107" i="57"/>
  <c r="L26" i="57" s="1"/>
  <c r="L27" i="57" s="1"/>
  <c r="L28" i="57" s="1"/>
  <c r="G75" i="57"/>
  <c r="G74" i="57"/>
  <c r="G73" i="57"/>
  <c r="G72" i="57"/>
  <c r="I86" i="57"/>
  <c r="I84" i="57"/>
  <c r="I83" i="57"/>
  <c r="I82" i="57"/>
  <c r="I81" i="57"/>
  <c r="I80" i="57"/>
  <c r="G77" i="57" l="1"/>
  <c r="G90" i="57" s="1"/>
  <c r="K77" i="57"/>
  <c r="K90" i="57" s="1"/>
  <c r="N77" i="57"/>
  <c r="N90" i="57" s="1"/>
  <c r="I77" i="57"/>
  <c r="H77" i="57"/>
  <c r="H90" i="57" s="1"/>
  <c r="F86" i="57"/>
  <c r="F90" i="57" s="1"/>
  <c r="J77" i="57"/>
  <c r="J90" i="57" s="1"/>
  <c r="F65" i="57"/>
  <c r="F70" i="57"/>
  <c r="F75" i="57"/>
  <c r="O77" i="57"/>
  <c r="O90" i="57" s="1"/>
  <c r="E77" i="57"/>
  <c r="E26" i="57"/>
  <c r="E27" i="57" s="1"/>
  <c r="E28" i="57" s="1"/>
  <c r="J41" i="57"/>
  <c r="H76" i="57"/>
  <c r="K85" i="57"/>
  <c r="E86" i="57"/>
  <c r="E39" i="57"/>
  <c r="F41" i="57"/>
  <c r="D39" i="57"/>
  <c r="D86" i="57"/>
  <c r="J85" i="57"/>
  <c r="F85" i="57"/>
  <c r="I90" i="57"/>
  <c r="G76" i="57"/>
  <c r="J66" i="57"/>
  <c r="J76" i="57" s="1"/>
  <c r="J71" i="57"/>
  <c r="I76" i="57"/>
  <c r="F68" i="57"/>
  <c r="F72" i="57"/>
  <c r="K76" i="57"/>
  <c r="K89" i="57" s="1"/>
  <c r="I85" i="57"/>
  <c r="I89" i="57" s="1"/>
  <c r="O85" i="57"/>
  <c r="M77" i="57"/>
  <c r="M90" i="57" s="1"/>
  <c r="L66" i="57"/>
  <c r="L76" i="57" s="1"/>
  <c r="M46" i="57"/>
  <c r="L77" i="57"/>
  <c r="L90" i="57" s="1"/>
  <c r="D77" i="57"/>
  <c r="D90" i="57" s="1"/>
  <c r="D26" i="57"/>
  <c r="D27" i="57" s="1"/>
  <c r="D28" i="57" s="1"/>
  <c r="M85" i="57"/>
  <c r="L85" i="57"/>
  <c r="G85" i="57"/>
  <c r="N85" i="57"/>
  <c r="D89" i="57"/>
  <c r="H85" i="57"/>
  <c r="H89" i="57" l="1"/>
  <c r="G89" i="57"/>
  <c r="D40" i="57"/>
  <c r="D41" i="57"/>
  <c r="E90" i="57"/>
  <c r="E87" i="57"/>
  <c r="F76" i="57"/>
  <c r="F89" i="57" s="1"/>
  <c r="E40" i="57"/>
  <c r="E41" i="57"/>
  <c r="K87" i="57"/>
  <c r="I87" i="57"/>
  <c r="J87" i="57"/>
  <c r="J89" i="57"/>
  <c r="L87" i="57"/>
  <c r="L89" i="57"/>
  <c r="D87" i="57"/>
  <c r="D91" i="57" s="1"/>
  <c r="G87" i="57"/>
  <c r="H87" i="57"/>
  <c r="N46" i="57"/>
  <c r="M66" i="57"/>
  <c r="M76" i="57" s="1"/>
  <c r="M87" i="57" s="1"/>
  <c r="F87" i="57" l="1"/>
  <c r="E91" i="57"/>
  <c r="D9" i="57"/>
  <c r="O46" i="57"/>
  <c r="O66" i="57" s="1"/>
  <c r="O76" i="57" s="1"/>
  <c r="N66" i="57"/>
  <c r="N76" i="57" s="1"/>
  <c r="M89" i="57"/>
  <c r="N87" i="57" l="1"/>
  <c r="N89" i="57"/>
  <c r="O87" i="57"/>
  <c r="O89" i="57"/>
  <c r="F91" i="57"/>
  <c r="E9" i="57"/>
  <c r="G91" i="57" l="1"/>
  <c r="F9" i="57"/>
  <c r="H91" i="57" l="1"/>
  <c r="G9" i="57"/>
  <c r="I91" i="57" l="1"/>
  <c r="H9" i="57"/>
  <c r="J91" i="57" l="1"/>
  <c r="I9" i="57"/>
  <c r="K91" i="57" l="1"/>
  <c r="J9" i="57"/>
  <c r="G35" i="50"/>
  <c r="K35" i="50"/>
  <c r="O35" i="50"/>
  <c r="I35" i="50"/>
  <c r="J35" i="50"/>
  <c r="F35" i="50"/>
  <c r="G45" i="50"/>
  <c r="H45" i="50"/>
  <c r="I45" i="50" s="1"/>
  <c r="J45" i="50" s="1"/>
  <c r="K45" i="50" s="1"/>
  <c r="L45" i="50" s="1"/>
  <c r="M45" i="50" s="1"/>
  <c r="N45" i="50" s="1"/>
  <c r="O45" i="50" s="1"/>
  <c r="F46" i="50"/>
  <c r="G46" i="50"/>
  <c r="H46" i="50"/>
  <c r="I46" i="50"/>
  <c r="J46" i="50"/>
  <c r="K46" i="50"/>
  <c r="L46" i="50"/>
  <c r="M46" i="50"/>
  <c r="N46" i="50"/>
  <c r="O46" i="50"/>
  <c r="L35" i="50"/>
  <c r="N35" i="50"/>
  <c r="E35" i="50"/>
  <c r="L91" i="57" l="1"/>
  <c r="K9" i="57"/>
  <c r="M35" i="50"/>
  <c r="H35" i="50"/>
  <c r="M91" i="57" l="1"/>
  <c r="L9" i="57"/>
  <c r="H110" i="50"/>
  <c r="I110" i="50"/>
  <c r="J110" i="50"/>
  <c r="K110" i="50"/>
  <c r="L110" i="50"/>
  <c r="M110" i="50"/>
  <c r="N110" i="50"/>
  <c r="O110" i="50"/>
  <c r="H36" i="50"/>
  <c r="I36" i="50"/>
  <c r="J36" i="50"/>
  <c r="K36" i="50"/>
  <c r="L36" i="50"/>
  <c r="M36" i="50"/>
  <c r="N36" i="50"/>
  <c r="O36" i="50"/>
  <c r="N91" i="57" l="1"/>
  <c r="M9" i="57"/>
  <c r="C72" i="50"/>
  <c r="E103" i="50"/>
  <c r="E72" i="50" s="1"/>
  <c r="F103" i="50"/>
  <c r="G103" i="50"/>
  <c r="H103" i="50"/>
  <c r="I103" i="50"/>
  <c r="J103" i="50"/>
  <c r="K103" i="50"/>
  <c r="L103" i="50"/>
  <c r="M103" i="50"/>
  <c r="N103" i="50"/>
  <c r="O103" i="50"/>
  <c r="D103" i="50"/>
  <c r="D72" i="50" s="1"/>
  <c r="O91" i="57" l="1"/>
  <c r="O9" i="57" s="1"/>
  <c r="N9" i="57"/>
  <c r="O115" i="50" l="1"/>
  <c r="N115" i="50"/>
  <c r="M115" i="50"/>
  <c r="L115" i="50"/>
  <c r="K115" i="50"/>
  <c r="J115" i="50"/>
  <c r="I115" i="50"/>
  <c r="H115" i="50"/>
  <c r="G115" i="50"/>
  <c r="F115" i="50"/>
  <c r="E115" i="50"/>
  <c r="D115" i="50"/>
  <c r="O114" i="50"/>
  <c r="N114" i="50"/>
  <c r="M114" i="50"/>
  <c r="L114" i="50"/>
  <c r="K114" i="50"/>
  <c r="J114" i="50"/>
  <c r="I114" i="50"/>
  <c r="H114" i="50"/>
  <c r="G114" i="50"/>
  <c r="F114" i="50"/>
  <c r="E114" i="50"/>
  <c r="E83" i="50" s="1"/>
  <c r="D114" i="50"/>
  <c r="D83" i="50" s="1"/>
  <c r="O113" i="50"/>
  <c r="N113" i="50"/>
  <c r="M113" i="50"/>
  <c r="L113" i="50"/>
  <c r="K113" i="50"/>
  <c r="J113" i="50"/>
  <c r="I113" i="50"/>
  <c r="H113" i="50"/>
  <c r="G113" i="50"/>
  <c r="F113" i="50"/>
  <c r="E113" i="50"/>
  <c r="E82" i="50" s="1"/>
  <c r="D113" i="50"/>
  <c r="D82" i="50" s="1"/>
  <c r="D112" i="50"/>
  <c r="D81" i="50" s="1"/>
  <c r="O111" i="50"/>
  <c r="N111" i="50"/>
  <c r="M111" i="50"/>
  <c r="L111" i="50"/>
  <c r="K111" i="50"/>
  <c r="J111" i="50"/>
  <c r="I111" i="50"/>
  <c r="H111" i="50"/>
  <c r="G111" i="50"/>
  <c r="F111" i="50"/>
  <c r="E111" i="50"/>
  <c r="E80" i="50" s="1"/>
  <c r="D111" i="50"/>
  <c r="D80" i="50" s="1"/>
  <c r="G110" i="50"/>
  <c r="F110" i="50"/>
  <c r="E110" i="50"/>
  <c r="E79" i="50" s="1"/>
  <c r="D110" i="50"/>
  <c r="D79" i="50" s="1"/>
  <c r="O107" i="50"/>
  <c r="N107" i="50"/>
  <c r="M107" i="50"/>
  <c r="L107" i="50"/>
  <c r="K107" i="50"/>
  <c r="J107" i="50"/>
  <c r="I107" i="50"/>
  <c r="H107" i="50"/>
  <c r="G107" i="50"/>
  <c r="F107" i="50"/>
  <c r="E107" i="50"/>
  <c r="D107" i="50"/>
  <c r="O105" i="50"/>
  <c r="N105" i="50"/>
  <c r="M105" i="50"/>
  <c r="L105" i="50"/>
  <c r="K105" i="50"/>
  <c r="J105" i="50"/>
  <c r="I105" i="50"/>
  <c r="H105" i="50"/>
  <c r="G105" i="50"/>
  <c r="F105" i="50"/>
  <c r="E105" i="50"/>
  <c r="D105" i="50"/>
  <c r="D74" i="50" s="1"/>
  <c r="O104" i="50"/>
  <c r="N104" i="50"/>
  <c r="M104" i="50"/>
  <c r="L104" i="50"/>
  <c r="K104" i="50"/>
  <c r="J104" i="50"/>
  <c r="I104" i="50"/>
  <c r="H104" i="50"/>
  <c r="G104" i="50"/>
  <c r="F104" i="50"/>
  <c r="E104" i="50"/>
  <c r="E73" i="50" s="1"/>
  <c r="D104" i="50"/>
  <c r="D73" i="50" s="1"/>
  <c r="O102" i="50"/>
  <c r="N102" i="50"/>
  <c r="M102" i="50"/>
  <c r="L102" i="50"/>
  <c r="K102" i="50"/>
  <c r="J102" i="50"/>
  <c r="I102" i="50"/>
  <c r="H102" i="50"/>
  <c r="G102" i="50"/>
  <c r="F102" i="50"/>
  <c r="E102" i="50"/>
  <c r="E71" i="50" s="1"/>
  <c r="D102" i="50"/>
  <c r="D71" i="50" s="1"/>
  <c r="O101" i="50"/>
  <c r="N101" i="50"/>
  <c r="M101" i="50"/>
  <c r="L101" i="50"/>
  <c r="K101" i="50"/>
  <c r="J101" i="50"/>
  <c r="I101" i="50"/>
  <c r="H101" i="50"/>
  <c r="G101" i="50"/>
  <c r="F101" i="50"/>
  <c r="E101" i="50"/>
  <c r="E70" i="50" s="1"/>
  <c r="D101" i="50"/>
  <c r="D70" i="50" s="1"/>
  <c r="O100" i="50"/>
  <c r="N100" i="50"/>
  <c r="M100" i="50"/>
  <c r="L100" i="50"/>
  <c r="K100" i="50"/>
  <c r="J100" i="50"/>
  <c r="I100" i="50"/>
  <c r="H100" i="50"/>
  <c r="G100" i="50"/>
  <c r="F100" i="50"/>
  <c r="E100" i="50"/>
  <c r="E69" i="50" s="1"/>
  <c r="D100" i="50"/>
  <c r="D69" i="50" s="1"/>
  <c r="O99" i="50"/>
  <c r="N99" i="50"/>
  <c r="M99" i="50"/>
  <c r="L99" i="50"/>
  <c r="K99" i="50"/>
  <c r="J99" i="50"/>
  <c r="I99" i="50"/>
  <c r="H99" i="50"/>
  <c r="G99" i="50"/>
  <c r="F99" i="50"/>
  <c r="E99" i="50"/>
  <c r="E68" i="50" s="1"/>
  <c r="D99" i="50"/>
  <c r="D68" i="50" s="1"/>
  <c r="O98" i="50"/>
  <c r="N98" i="50"/>
  <c r="M98" i="50"/>
  <c r="L98" i="50"/>
  <c r="K98" i="50"/>
  <c r="J98" i="50"/>
  <c r="I98" i="50"/>
  <c r="H98" i="50"/>
  <c r="G98" i="50"/>
  <c r="F98" i="50"/>
  <c r="E98" i="50"/>
  <c r="E67" i="50" s="1"/>
  <c r="D98" i="50"/>
  <c r="D67" i="50" s="1"/>
  <c r="O97" i="50"/>
  <c r="N97" i="50"/>
  <c r="M97" i="50"/>
  <c r="L97" i="50"/>
  <c r="K97" i="50"/>
  <c r="J97" i="50"/>
  <c r="I97" i="50"/>
  <c r="H97" i="50"/>
  <c r="G97" i="50"/>
  <c r="F97" i="50"/>
  <c r="E97" i="50"/>
  <c r="E66" i="50" s="1"/>
  <c r="D97" i="50"/>
  <c r="D66" i="50" s="1"/>
  <c r="O96" i="50"/>
  <c r="N96" i="50"/>
  <c r="M96" i="50"/>
  <c r="L96" i="50"/>
  <c r="K96" i="50"/>
  <c r="J96" i="50"/>
  <c r="I96" i="50"/>
  <c r="H96" i="50"/>
  <c r="G96" i="50"/>
  <c r="F96" i="50"/>
  <c r="E96" i="50"/>
  <c r="E65" i="50" s="1"/>
  <c r="D96" i="50"/>
  <c r="D65" i="50" s="1"/>
  <c r="O95" i="50"/>
  <c r="N95" i="50"/>
  <c r="M95" i="50"/>
  <c r="L95" i="50"/>
  <c r="K95" i="50"/>
  <c r="J95" i="50"/>
  <c r="I95" i="50"/>
  <c r="H95" i="50"/>
  <c r="G95" i="50"/>
  <c r="F95" i="50"/>
  <c r="E95" i="50"/>
  <c r="E64" i="50" s="1"/>
  <c r="D95" i="50"/>
  <c r="D64" i="50" s="1"/>
  <c r="O37" i="50"/>
  <c r="N37" i="50"/>
  <c r="M37" i="50"/>
  <c r="L37" i="50"/>
  <c r="K37" i="50"/>
  <c r="J37" i="50"/>
  <c r="I37" i="50"/>
  <c r="H37" i="50"/>
  <c r="G37" i="50"/>
  <c r="F37" i="50"/>
  <c r="E37" i="50"/>
  <c r="D37" i="50"/>
  <c r="G36" i="50"/>
  <c r="F36" i="50"/>
  <c r="E36" i="50"/>
  <c r="D36" i="50"/>
  <c r="O24" i="50"/>
  <c r="N24" i="50"/>
  <c r="M24" i="50"/>
  <c r="L24" i="50"/>
  <c r="K24" i="50"/>
  <c r="J24" i="50"/>
  <c r="I24" i="50"/>
  <c r="H24" i="50"/>
  <c r="G24" i="50"/>
  <c r="F24" i="50"/>
  <c r="E24" i="50"/>
  <c r="D24" i="50"/>
  <c r="O4" i="50"/>
  <c r="N4" i="50"/>
  <c r="M4" i="50"/>
  <c r="L4" i="50"/>
  <c r="K4" i="50"/>
  <c r="J4" i="50"/>
  <c r="I4" i="50"/>
  <c r="H4" i="50"/>
  <c r="G4" i="50"/>
  <c r="F4" i="50"/>
  <c r="O3" i="50"/>
  <c r="O72" i="50" s="1"/>
  <c r="N3" i="50"/>
  <c r="N72" i="50" s="1"/>
  <c r="M3" i="50"/>
  <c r="M72" i="50" s="1"/>
  <c r="L3" i="50"/>
  <c r="L72" i="50" s="1"/>
  <c r="K3" i="50"/>
  <c r="K72" i="50" s="1"/>
  <c r="J3" i="50"/>
  <c r="J72" i="50" s="1"/>
  <c r="I3" i="50"/>
  <c r="I72" i="50" s="1"/>
  <c r="H3" i="50"/>
  <c r="H72" i="50" s="1"/>
  <c r="G3" i="50"/>
  <c r="G72" i="50" s="1"/>
  <c r="F3" i="50"/>
  <c r="F72" i="50" s="1"/>
  <c r="H69" i="50" l="1"/>
  <c r="E112" i="50"/>
  <c r="N68" i="50"/>
  <c r="L106" i="50"/>
  <c r="L25" i="50" s="1"/>
  <c r="L26" i="50" s="1"/>
  <c r="L27" i="50" s="1"/>
  <c r="D84" i="50"/>
  <c r="K106" i="50"/>
  <c r="K25" i="50" s="1"/>
  <c r="K26" i="50" s="1"/>
  <c r="K27" i="50" s="1"/>
  <c r="O106" i="50"/>
  <c r="O25" i="50" s="1"/>
  <c r="O26" i="50" s="1"/>
  <c r="O27" i="50" s="1"/>
  <c r="N106" i="50"/>
  <c r="N25" i="50" s="1"/>
  <c r="J106" i="50"/>
  <c r="J25" i="50" s="1"/>
  <c r="J26" i="50" s="1"/>
  <c r="J27" i="50" s="1"/>
  <c r="H106" i="50"/>
  <c r="H25" i="50" s="1"/>
  <c r="H26" i="50" s="1"/>
  <c r="H27" i="50" s="1"/>
  <c r="G106" i="50"/>
  <c r="G25" i="50" s="1"/>
  <c r="G26" i="50" s="1"/>
  <c r="G27" i="50" s="1"/>
  <c r="F106" i="50"/>
  <c r="F25" i="50" s="1"/>
  <c r="F26" i="50" s="1"/>
  <c r="F27" i="50" s="1"/>
  <c r="I64" i="50"/>
  <c r="M64" i="50"/>
  <c r="I65" i="50"/>
  <c r="M65" i="50"/>
  <c r="M66" i="50"/>
  <c r="I67" i="50"/>
  <c r="I68" i="50"/>
  <c r="I69" i="50"/>
  <c r="M69" i="50"/>
  <c r="M70" i="50"/>
  <c r="I71" i="50"/>
  <c r="I73" i="50"/>
  <c r="M73" i="50"/>
  <c r="I74" i="50"/>
  <c r="D116" i="50"/>
  <c r="D106" i="50"/>
  <c r="D76" i="50" s="1"/>
  <c r="F74" i="50"/>
  <c r="F70" i="50"/>
  <c r="F66" i="50"/>
  <c r="F69" i="50"/>
  <c r="F65" i="50"/>
  <c r="F73" i="50"/>
  <c r="F68" i="50"/>
  <c r="F64" i="50"/>
  <c r="F71" i="50"/>
  <c r="F67" i="50"/>
  <c r="H83" i="50"/>
  <c r="H82" i="50"/>
  <c r="H80" i="50"/>
  <c r="H79" i="50"/>
  <c r="G74" i="50"/>
  <c r="G73" i="50"/>
  <c r="G71" i="50"/>
  <c r="G70" i="50"/>
  <c r="G69" i="50"/>
  <c r="G68" i="50"/>
  <c r="G67" i="50"/>
  <c r="G66" i="50"/>
  <c r="G65" i="50"/>
  <c r="G64" i="50"/>
  <c r="K74" i="50"/>
  <c r="K73" i="50"/>
  <c r="K71" i="50"/>
  <c r="K70" i="50"/>
  <c r="K69" i="50"/>
  <c r="K67" i="50"/>
  <c r="K66" i="50"/>
  <c r="K65" i="50"/>
  <c r="K64" i="50"/>
  <c r="M83" i="50"/>
  <c r="M82" i="50"/>
  <c r="M80" i="50"/>
  <c r="M79" i="50"/>
  <c r="M68" i="50"/>
  <c r="E106" i="50"/>
  <c r="I106" i="50"/>
  <c r="I25" i="50" s="1"/>
  <c r="I26" i="50" s="1"/>
  <c r="I27" i="50" s="1"/>
  <c r="M106" i="50"/>
  <c r="M25" i="50" s="1"/>
  <c r="M26" i="50" s="1"/>
  <c r="M27" i="50" s="1"/>
  <c r="L83" i="50"/>
  <c r="L82" i="50"/>
  <c r="L80" i="50"/>
  <c r="L79" i="50"/>
  <c r="L68" i="50"/>
  <c r="I83" i="50"/>
  <c r="I82" i="50"/>
  <c r="I80" i="50"/>
  <c r="I79" i="50"/>
  <c r="J74" i="50"/>
  <c r="J71" i="50"/>
  <c r="J67" i="50"/>
  <c r="J70" i="50"/>
  <c r="J66" i="50"/>
  <c r="J69" i="50"/>
  <c r="J65" i="50"/>
  <c r="J73" i="50"/>
  <c r="J64" i="50"/>
  <c r="N76" i="50"/>
  <c r="N74" i="50"/>
  <c r="N73" i="50"/>
  <c r="N64" i="50"/>
  <c r="N71" i="50"/>
  <c r="N67" i="50"/>
  <c r="N70" i="50"/>
  <c r="N66" i="50"/>
  <c r="N69" i="50"/>
  <c r="N65" i="50"/>
  <c r="O74" i="50"/>
  <c r="O73" i="50"/>
  <c r="O71" i="50"/>
  <c r="O70" i="50"/>
  <c r="O69" i="50"/>
  <c r="O67" i="50"/>
  <c r="O66" i="50"/>
  <c r="O65" i="50"/>
  <c r="O64" i="50"/>
  <c r="J83" i="50"/>
  <c r="J82" i="50"/>
  <c r="J80" i="50"/>
  <c r="J79" i="50"/>
  <c r="H66" i="50"/>
  <c r="L67" i="50"/>
  <c r="J68" i="50"/>
  <c r="L71" i="50"/>
  <c r="G83" i="50"/>
  <c r="G82" i="50"/>
  <c r="G80" i="50"/>
  <c r="G79" i="50"/>
  <c r="K83" i="50"/>
  <c r="K82" i="50"/>
  <c r="K80" i="50"/>
  <c r="K79" i="50"/>
  <c r="K68" i="50"/>
  <c r="O83" i="50"/>
  <c r="O82" i="50"/>
  <c r="O80" i="50"/>
  <c r="O79" i="50"/>
  <c r="O68" i="50"/>
  <c r="N26" i="50"/>
  <c r="N27" i="50" s="1"/>
  <c r="L64" i="50"/>
  <c r="I66" i="50"/>
  <c r="H67" i="50"/>
  <c r="M67" i="50"/>
  <c r="I70" i="50"/>
  <c r="H71" i="50"/>
  <c r="M71" i="50"/>
  <c r="L73" i="50"/>
  <c r="E74" i="50"/>
  <c r="E75" i="50" s="1"/>
  <c r="M74" i="50"/>
  <c r="H64" i="50"/>
  <c r="L65" i="50"/>
  <c r="H68" i="50"/>
  <c r="L69" i="50"/>
  <c r="H73" i="50"/>
  <c r="H74" i="50"/>
  <c r="D75" i="50"/>
  <c r="H65" i="50"/>
  <c r="L66" i="50"/>
  <c r="L70" i="50"/>
  <c r="F83" i="50"/>
  <c r="F82" i="50"/>
  <c r="F80" i="50"/>
  <c r="F79" i="50"/>
  <c r="N83" i="50"/>
  <c r="N82" i="50"/>
  <c r="N80" i="50"/>
  <c r="N79" i="50"/>
  <c r="H70" i="50"/>
  <c r="L74" i="50"/>
  <c r="D88" i="50" l="1"/>
  <c r="L76" i="50"/>
  <c r="K76" i="50"/>
  <c r="H76" i="50"/>
  <c r="O76" i="50"/>
  <c r="J76" i="50"/>
  <c r="E81" i="50"/>
  <c r="E84" i="50" s="1"/>
  <c r="E88" i="50" s="1"/>
  <c r="E116" i="50"/>
  <c r="E85" i="50" s="1"/>
  <c r="G76" i="50"/>
  <c r="I76" i="50"/>
  <c r="F76" i="50"/>
  <c r="I75" i="50"/>
  <c r="M75" i="50"/>
  <c r="F75" i="50"/>
  <c r="D25" i="50"/>
  <c r="D85" i="50"/>
  <c r="D89" i="50" s="1"/>
  <c r="D38" i="50"/>
  <c r="K75" i="50"/>
  <c r="L75" i="50"/>
  <c r="M76" i="50"/>
  <c r="E76" i="50"/>
  <c r="E25" i="50"/>
  <c r="H75" i="50"/>
  <c r="O75" i="50"/>
  <c r="N75" i="50"/>
  <c r="J75" i="50"/>
  <c r="G75" i="50"/>
  <c r="E26" i="50" l="1"/>
  <c r="E89" i="50"/>
  <c r="E38" i="50"/>
  <c r="E39" i="50" s="1"/>
  <c r="D26" i="50"/>
  <c r="D27" i="50" s="1"/>
  <c r="D86" i="50"/>
  <c r="D90" i="50" s="1"/>
  <c r="D40" i="50"/>
  <c r="D39" i="50"/>
  <c r="E86" i="50"/>
  <c r="E27" i="50" l="1"/>
  <c r="E40" i="50"/>
  <c r="D9" i="50"/>
  <c r="E90" i="50"/>
  <c r="E9" i="50" l="1"/>
  <c r="O34" i="26" l="1"/>
  <c r="N34" i="26"/>
  <c r="M34" i="26"/>
  <c r="L34" i="26"/>
  <c r="K34" i="26"/>
  <c r="J34" i="26"/>
  <c r="I34" i="26"/>
  <c r="H34" i="26"/>
  <c r="G34" i="26"/>
  <c r="F34" i="26"/>
  <c r="E34" i="26"/>
  <c r="D34" i="26"/>
  <c r="D33" i="26" l="1"/>
  <c r="E33" i="26"/>
  <c r="F33" i="26"/>
  <c r="G33" i="26"/>
  <c r="H33" i="26"/>
  <c r="I33" i="26"/>
  <c r="J33" i="26"/>
  <c r="K33" i="26"/>
  <c r="L33" i="26"/>
  <c r="M33" i="26"/>
  <c r="N33" i="26"/>
  <c r="O33" i="26"/>
  <c r="M106" i="26" l="1"/>
  <c r="N107" i="26"/>
  <c r="M108" i="26"/>
  <c r="O91" i="26"/>
  <c r="O92" i="26"/>
  <c r="N95" i="26"/>
  <c r="L98" i="26"/>
  <c r="L99" i="26"/>
  <c r="K100" i="26"/>
  <c r="M100" i="26"/>
  <c r="N100" i="26"/>
  <c r="L102" i="26"/>
  <c r="J4" i="26"/>
  <c r="K105" i="26"/>
  <c r="L105" i="26"/>
  <c r="M105" i="26"/>
  <c r="N105" i="26"/>
  <c r="O105" i="26"/>
  <c r="K106" i="26"/>
  <c r="L106" i="26"/>
  <c r="O106" i="26"/>
  <c r="K107" i="26"/>
  <c r="L107" i="26"/>
  <c r="O107" i="26"/>
  <c r="K108" i="26"/>
  <c r="L108" i="26"/>
  <c r="N108" i="26"/>
  <c r="O108" i="26"/>
  <c r="K109" i="26"/>
  <c r="L109" i="26"/>
  <c r="N109" i="26"/>
  <c r="O109" i="26"/>
  <c r="K110" i="26"/>
  <c r="O110" i="26"/>
  <c r="K91" i="26"/>
  <c r="N91" i="26"/>
  <c r="K92" i="26"/>
  <c r="M92" i="26"/>
  <c r="N92" i="26"/>
  <c r="K93" i="26"/>
  <c r="L93" i="26"/>
  <c r="M93" i="26"/>
  <c r="O93" i="26"/>
  <c r="K94" i="26"/>
  <c r="L94" i="26"/>
  <c r="M94" i="26"/>
  <c r="O94" i="26"/>
  <c r="K95" i="26"/>
  <c r="L95" i="26"/>
  <c r="O95" i="26"/>
  <c r="K96" i="26"/>
  <c r="M96" i="26"/>
  <c r="O96" i="26"/>
  <c r="K97" i="26"/>
  <c r="L97" i="26"/>
  <c r="M97" i="26"/>
  <c r="N97" i="26"/>
  <c r="O97" i="26"/>
  <c r="K98" i="26"/>
  <c r="M98" i="26"/>
  <c r="O98" i="26"/>
  <c r="K99" i="26"/>
  <c r="N99" i="26"/>
  <c r="O99" i="26"/>
  <c r="O100" i="26"/>
  <c r="K102" i="26"/>
  <c r="O102" i="26"/>
  <c r="K22" i="26"/>
  <c r="O22" i="26"/>
  <c r="K4" i="26" l="1"/>
  <c r="F4" i="26"/>
  <c r="I4" i="26"/>
  <c r="L4" i="26"/>
  <c r="H4" i="26"/>
  <c r="G3" i="26"/>
  <c r="O3" i="26"/>
  <c r="H35" i="26"/>
  <c r="N22" i="26"/>
  <c r="N96" i="26"/>
  <c r="N93" i="26"/>
  <c r="I3" i="26"/>
  <c r="O35" i="26"/>
  <c r="K35" i="26"/>
  <c r="G35" i="26"/>
  <c r="M99" i="26"/>
  <c r="M95" i="26"/>
  <c r="K3" i="26"/>
  <c r="G4" i="26"/>
  <c r="O4" i="26"/>
  <c r="N79" i="26" s="1"/>
  <c r="F3" i="26"/>
  <c r="N110" i="26"/>
  <c r="N35" i="26"/>
  <c r="J35" i="26"/>
  <c r="F35" i="26"/>
  <c r="N102" i="26"/>
  <c r="N4" i="26"/>
  <c r="J3" i="26"/>
  <c r="L100" i="26"/>
  <c r="L96" i="26"/>
  <c r="L92" i="26"/>
  <c r="L3" i="26"/>
  <c r="K65" i="26" s="1"/>
  <c r="M110" i="26"/>
  <c r="M35" i="26"/>
  <c r="I35" i="26"/>
  <c r="E35" i="26"/>
  <c r="M102" i="26"/>
  <c r="M3" i="26"/>
  <c r="L64" i="26" s="1"/>
  <c r="N106" i="26"/>
  <c r="N3" i="26"/>
  <c r="L110" i="26"/>
  <c r="L35" i="26"/>
  <c r="D35" i="26"/>
  <c r="N98" i="26"/>
  <c r="N94" i="26"/>
  <c r="M109" i="26"/>
  <c r="M107" i="26"/>
  <c r="M4" i="26"/>
  <c r="L76" i="26" s="1"/>
  <c r="H3" i="26"/>
  <c r="K101" i="26"/>
  <c r="K23" i="26" s="1"/>
  <c r="K24" i="26" s="1"/>
  <c r="K25" i="26" s="1"/>
  <c r="O111" i="26"/>
  <c r="K111" i="26"/>
  <c r="K36" i="26" s="1"/>
  <c r="K37" i="26" s="1"/>
  <c r="O101" i="26"/>
  <c r="K77" i="26"/>
  <c r="K66" i="26"/>
  <c r="K76" i="26"/>
  <c r="K78" i="26"/>
  <c r="K79" i="26"/>
  <c r="K80" i="26"/>
  <c r="J80" i="26"/>
  <c r="J79" i="26"/>
  <c r="J78" i="26"/>
  <c r="M78" i="26"/>
  <c r="O36" i="26" l="1"/>
  <c r="O23" i="26"/>
  <c r="N66" i="26"/>
  <c r="N78" i="26"/>
  <c r="N77" i="26"/>
  <c r="N76" i="26"/>
  <c r="N111" i="26"/>
  <c r="N36" i="26" s="1"/>
  <c r="N37" i="26" s="1"/>
  <c r="M111" i="26"/>
  <c r="M36" i="26" s="1"/>
  <c r="M37" i="26" s="1"/>
  <c r="L111" i="26"/>
  <c r="L36" i="26" s="1"/>
  <c r="L38" i="26" s="1"/>
  <c r="K63" i="26"/>
  <c r="N38" i="26"/>
  <c r="K64" i="26"/>
  <c r="J66" i="26"/>
  <c r="M79" i="26"/>
  <c r="M66" i="26"/>
  <c r="J77" i="26"/>
  <c r="K67" i="26"/>
  <c r="L67" i="26"/>
  <c r="L69" i="26"/>
  <c r="K70" i="26"/>
  <c r="K69" i="26"/>
  <c r="L79" i="26"/>
  <c r="M80" i="26"/>
  <c r="M77" i="26"/>
  <c r="K68" i="26"/>
  <c r="K71" i="26"/>
  <c r="J76" i="26"/>
  <c r="N80" i="26"/>
  <c r="M76" i="26"/>
  <c r="N101" i="26"/>
  <c r="N23" i="26" s="1"/>
  <c r="N24" i="26" s="1"/>
  <c r="N25" i="26" s="1"/>
  <c r="L77" i="26"/>
  <c r="L82" i="26"/>
  <c r="N82" i="26"/>
  <c r="J82" i="26"/>
  <c r="L78" i="26"/>
  <c r="O38" i="26"/>
  <c r="K38" i="26"/>
  <c r="L66" i="26"/>
  <c r="L80" i="26"/>
  <c r="L65" i="26"/>
  <c r="L70" i="26"/>
  <c r="L71" i="26"/>
  <c r="L63" i="26"/>
  <c r="L68" i="26"/>
  <c r="K81" i="26"/>
  <c r="J62" i="26"/>
  <c r="J64" i="26"/>
  <c r="J68" i="26"/>
  <c r="J70" i="26"/>
  <c r="J73" i="26"/>
  <c r="J63" i="26"/>
  <c r="J65" i="26"/>
  <c r="J67" i="26"/>
  <c r="J69" i="26"/>
  <c r="J71" i="26"/>
  <c r="M63" i="26"/>
  <c r="M65" i="26"/>
  <c r="M67" i="26"/>
  <c r="M69" i="26"/>
  <c r="M71" i="26"/>
  <c r="M62" i="26"/>
  <c r="M64" i="26"/>
  <c r="M68" i="26"/>
  <c r="M70" i="26"/>
  <c r="N62" i="26"/>
  <c r="N64" i="26"/>
  <c r="N68" i="26"/>
  <c r="N70" i="26"/>
  <c r="N73" i="26"/>
  <c r="N63" i="26"/>
  <c r="N65" i="26"/>
  <c r="N67" i="26"/>
  <c r="N69" i="26"/>
  <c r="N71" i="26"/>
  <c r="O37" i="26" l="1"/>
  <c r="O24" i="26"/>
  <c r="L37" i="26"/>
  <c r="M38" i="26"/>
  <c r="M82" i="26"/>
  <c r="K82" i="26"/>
  <c r="M81" i="26"/>
  <c r="J81" i="26"/>
  <c r="N81" i="26"/>
  <c r="J86" i="26"/>
  <c r="L81" i="26"/>
  <c r="M73" i="26"/>
  <c r="N86" i="26"/>
  <c r="M72" i="26"/>
  <c r="J72" i="26"/>
  <c r="N72" i="26"/>
  <c r="O25" i="26" l="1"/>
  <c r="M86" i="26"/>
  <c r="J83" i="26"/>
  <c r="N83" i="26"/>
  <c r="J85" i="26"/>
  <c r="M83" i="26"/>
  <c r="N85" i="26"/>
  <c r="M85" i="26"/>
  <c r="I22" i="26"/>
  <c r="J22" i="26"/>
  <c r="J108" i="26" l="1"/>
  <c r="I108" i="26"/>
  <c r="H108" i="26"/>
  <c r="G108" i="26"/>
  <c r="F108" i="26"/>
  <c r="E108" i="26"/>
  <c r="D108" i="26"/>
  <c r="J107" i="26"/>
  <c r="I107" i="26"/>
  <c r="H107" i="26"/>
  <c r="G107" i="26"/>
  <c r="F107" i="26"/>
  <c r="E107" i="26"/>
  <c r="D107" i="26"/>
  <c r="J106" i="26"/>
  <c r="I106" i="26"/>
  <c r="H106" i="26"/>
  <c r="G106" i="26"/>
  <c r="F106" i="26"/>
  <c r="E106" i="26"/>
  <c r="D106" i="26"/>
  <c r="G105" i="26"/>
  <c r="J99" i="26"/>
  <c r="I99" i="26"/>
  <c r="H70" i="26" s="1"/>
  <c r="H99" i="26"/>
  <c r="G70" i="26" s="1"/>
  <c r="G99" i="26"/>
  <c r="F70" i="26" s="1"/>
  <c r="F99" i="26"/>
  <c r="E70" i="26" s="1"/>
  <c r="E99" i="26"/>
  <c r="D70" i="26" s="1"/>
  <c r="D99" i="26"/>
  <c r="G94" i="26"/>
  <c r="G92" i="26"/>
  <c r="H22" i="26"/>
  <c r="G22" i="26"/>
  <c r="F22" i="26"/>
  <c r="E22" i="26"/>
  <c r="D22" i="26"/>
  <c r="J110" i="26"/>
  <c r="I110" i="26"/>
  <c r="H110" i="26"/>
  <c r="G110" i="26"/>
  <c r="F110" i="26"/>
  <c r="E110" i="26"/>
  <c r="D110" i="26"/>
  <c r="I70" i="26" l="1"/>
  <c r="C70" i="26"/>
  <c r="G96" i="26"/>
  <c r="F67" i="26" s="1"/>
  <c r="D96" i="26"/>
  <c r="H96" i="26"/>
  <c r="G67" i="26" s="1"/>
  <c r="E96" i="26"/>
  <c r="D67" i="26" s="1"/>
  <c r="I96" i="26"/>
  <c r="H67" i="26" s="1"/>
  <c r="F96" i="26"/>
  <c r="E67" i="26" s="1"/>
  <c r="J96" i="26"/>
  <c r="G97" i="26"/>
  <c r="F68" i="26" s="1"/>
  <c r="D97" i="26"/>
  <c r="H97" i="26"/>
  <c r="G68" i="26" s="1"/>
  <c r="E97" i="26"/>
  <c r="D68" i="26" s="1"/>
  <c r="I97" i="26"/>
  <c r="H68" i="26" s="1"/>
  <c r="F97" i="26"/>
  <c r="E68" i="26" s="1"/>
  <c r="J97" i="26"/>
  <c r="D98" i="26"/>
  <c r="H98" i="26"/>
  <c r="G69" i="26" s="1"/>
  <c r="E98" i="26"/>
  <c r="D69" i="26" s="1"/>
  <c r="I98" i="26"/>
  <c r="H69" i="26" s="1"/>
  <c r="F98" i="26"/>
  <c r="E69" i="26" s="1"/>
  <c r="J98" i="26"/>
  <c r="G98" i="26"/>
  <c r="F69" i="26" s="1"/>
  <c r="D91" i="26"/>
  <c r="H91" i="26"/>
  <c r="E91" i="26"/>
  <c r="F91" i="26"/>
  <c r="G91" i="26"/>
  <c r="F62" i="26" s="1"/>
  <c r="J91" i="26"/>
  <c r="I91" i="26"/>
  <c r="J93" i="26"/>
  <c r="J95" i="26"/>
  <c r="J92" i="26"/>
  <c r="J94" i="26"/>
  <c r="J105" i="26"/>
  <c r="E92" i="26"/>
  <c r="D63" i="26" s="1"/>
  <c r="I92" i="26"/>
  <c r="E94" i="26"/>
  <c r="D65" i="26" s="1"/>
  <c r="I94" i="26"/>
  <c r="H65" i="26" s="1"/>
  <c r="E105" i="26"/>
  <c r="D76" i="26" s="1"/>
  <c r="I105" i="26"/>
  <c r="H76" i="26" s="1"/>
  <c r="E79" i="26"/>
  <c r="E78" i="26"/>
  <c r="E77" i="26"/>
  <c r="G79" i="26"/>
  <c r="G78" i="26"/>
  <c r="G77" i="26"/>
  <c r="I79" i="26"/>
  <c r="I78" i="26"/>
  <c r="I77" i="26"/>
  <c r="F79" i="26"/>
  <c r="F78" i="26"/>
  <c r="F77" i="26"/>
  <c r="F76" i="26"/>
  <c r="H79" i="26"/>
  <c r="H78" i="26"/>
  <c r="H77" i="26"/>
  <c r="D92" i="26"/>
  <c r="F92" i="26"/>
  <c r="H92" i="26"/>
  <c r="E93" i="26"/>
  <c r="G93" i="26"/>
  <c r="F64" i="26" s="1"/>
  <c r="I93" i="26"/>
  <c r="D94" i="26"/>
  <c r="F94" i="26"/>
  <c r="H94" i="26"/>
  <c r="E95" i="26"/>
  <c r="G95" i="26"/>
  <c r="F66" i="26" s="1"/>
  <c r="I95" i="26"/>
  <c r="E100" i="26"/>
  <c r="D71" i="26" s="1"/>
  <c r="G100" i="26"/>
  <c r="F71" i="26" s="1"/>
  <c r="I100" i="26"/>
  <c r="H71" i="26" s="1"/>
  <c r="E102" i="26"/>
  <c r="G102" i="26"/>
  <c r="I102" i="26"/>
  <c r="D105" i="26"/>
  <c r="F105" i="26"/>
  <c r="H105" i="26"/>
  <c r="C77" i="26"/>
  <c r="F65" i="26"/>
  <c r="F63" i="26"/>
  <c r="D93" i="26"/>
  <c r="F93" i="26"/>
  <c r="H93" i="26"/>
  <c r="D95" i="26"/>
  <c r="F95" i="26"/>
  <c r="H95" i="26"/>
  <c r="E109" i="26"/>
  <c r="F109" i="26"/>
  <c r="D100" i="26"/>
  <c r="F100" i="26"/>
  <c r="E71" i="26" s="1"/>
  <c r="H100" i="26"/>
  <c r="G71" i="26" s="1"/>
  <c r="J100" i="26"/>
  <c r="D102" i="26"/>
  <c r="F102" i="26"/>
  <c r="H102" i="26"/>
  <c r="J102" i="26"/>
  <c r="D77" i="26"/>
  <c r="D78" i="26"/>
  <c r="D79" i="26"/>
  <c r="C78" i="26"/>
  <c r="C79" i="26"/>
  <c r="I68" i="26" l="1"/>
  <c r="I76" i="26"/>
  <c r="I64" i="26"/>
  <c r="C68" i="26"/>
  <c r="C71" i="26"/>
  <c r="I65" i="26"/>
  <c r="I69" i="26"/>
  <c r="I63" i="26"/>
  <c r="I62" i="26"/>
  <c r="C69" i="26"/>
  <c r="I67" i="26"/>
  <c r="C67" i="26"/>
  <c r="I71" i="26"/>
  <c r="I66" i="26"/>
  <c r="E101" i="26"/>
  <c r="D73" i="26" s="1"/>
  <c r="D101" i="26"/>
  <c r="I101" i="26"/>
  <c r="H73" i="26" s="1"/>
  <c r="J101" i="26"/>
  <c r="H101" i="26"/>
  <c r="G73" i="26" s="1"/>
  <c r="F101" i="26"/>
  <c r="E73" i="26" s="1"/>
  <c r="G101" i="26"/>
  <c r="F73" i="26" s="1"/>
  <c r="J109" i="26"/>
  <c r="H109" i="26"/>
  <c r="G80" i="26" s="1"/>
  <c r="I109" i="26"/>
  <c r="I111" i="26" s="1"/>
  <c r="H82" i="26" s="1"/>
  <c r="D109" i="26"/>
  <c r="G109" i="26"/>
  <c r="F80" i="26" s="1"/>
  <c r="H63" i="26"/>
  <c r="E111" i="26"/>
  <c r="C64" i="26"/>
  <c r="F72" i="26"/>
  <c r="D66" i="26"/>
  <c r="C65" i="26"/>
  <c r="D62" i="26"/>
  <c r="G63" i="26"/>
  <c r="G65" i="26"/>
  <c r="E63" i="26"/>
  <c r="E65" i="26"/>
  <c r="F111" i="26"/>
  <c r="E82" i="26" s="1"/>
  <c r="G76" i="26"/>
  <c r="E76" i="26"/>
  <c r="E80" i="26"/>
  <c r="H62" i="26"/>
  <c r="H64" i="26"/>
  <c r="H66" i="26"/>
  <c r="D80" i="26"/>
  <c r="C66" i="26"/>
  <c r="C62" i="26"/>
  <c r="C76" i="26"/>
  <c r="D64" i="26"/>
  <c r="C63" i="26"/>
  <c r="G62" i="26"/>
  <c r="G64" i="26"/>
  <c r="G66" i="26"/>
  <c r="E62" i="26"/>
  <c r="E64" i="26"/>
  <c r="E66" i="26"/>
  <c r="C73" i="26" l="1"/>
  <c r="J111" i="26"/>
  <c r="D111" i="26"/>
  <c r="J36" i="26"/>
  <c r="H111" i="26"/>
  <c r="C80" i="26"/>
  <c r="G111" i="26"/>
  <c r="H80" i="26"/>
  <c r="H81" i="26" s="1"/>
  <c r="I80" i="26"/>
  <c r="J23" i="26"/>
  <c r="I73" i="26"/>
  <c r="H23" i="26"/>
  <c r="H24" i="26" s="1"/>
  <c r="F23" i="26"/>
  <c r="F24" i="26" s="1"/>
  <c r="G23" i="26"/>
  <c r="D23" i="26"/>
  <c r="D82" i="26"/>
  <c r="D81" i="26"/>
  <c r="E36" i="26"/>
  <c r="G72" i="26"/>
  <c r="H72" i="26"/>
  <c r="C72" i="26"/>
  <c r="G81" i="26"/>
  <c r="F36" i="26"/>
  <c r="E86" i="26"/>
  <c r="F81" i="26"/>
  <c r="F85" i="26" s="1"/>
  <c r="I36" i="26"/>
  <c r="I37" i="26" s="1"/>
  <c r="I23" i="26"/>
  <c r="I24" i="26" s="1"/>
  <c r="E72" i="26"/>
  <c r="E81" i="26"/>
  <c r="I72" i="26"/>
  <c r="D72" i="26"/>
  <c r="E23" i="26"/>
  <c r="J24" i="26" l="1"/>
  <c r="C81" i="26"/>
  <c r="C82" i="26"/>
  <c r="D36" i="26"/>
  <c r="I82" i="26"/>
  <c r="D83" i="26"/>
  <c r="H83" i="26"/>
  <c r="E85" i="26"/>
  <c r="D85" i="26"/>
  <c r="H85" i="26"/>
  <c r="H36" i="26"/>
  <c r="H37" i="26" s="1"/>
  <c r="G82" i="26"/>
  <c r="G86" i="26" s="1"/>
  <c r="E83" i="26"/>
  <c r="G85" i="26"/>
  <c r="F82" i="26"/>
  <c r="F83" i="26" s="1"/>
  <c r="G24" i="26"/>
  <c r="G25" i="26" s="1"/>
  <c r="G36" i="26"/>
  <c r="G37" i="26" s="1"/>
  <c r="J25" i="26"/>
  <c r="F25" i="26"/>
  <c r="F37" i="26"/>
  <c r="H25" i="26"/>
  <c r="D24" i="26"/>
  <c r="I25" i="26"/>
  <c r="E24" i="26"/>
  <c r="E25" i="26" s="1"/>
  <c r="D37" i="26"/>
  <c r="F38" i="26"/>
  <c r="E38" i="26"/>
  <c r="E37" i="26"/>
  <c r="I38" i="26"/>
  <c r="H86" i="26"/>
  <c r="D86" i="26"/>
  <c r="D25" i="26" l="1"/>
  <c r="D38" i="26"/>
  <c r="C85" i="26"/>
  <c r="C83" i="26"/>
  <c r="C86" i="26"/>
  <c r="H38" i="26"/>
  <c r="F86" i="26"/>
  <c r="G83" i="26"/>
  <c r="G38" i="26"/>
  <c r="C87" i="26" l="1"/>
  <c r="J37" i="26"/>
  <c r="D9" i="26" l="1"/>
  <c r="I81" i="26"/>
  <c r="J38" i="26"/>
  <c r="I86" i="26"/>
  <c r="I85" i="26" l="1"/>
  <c r="I83" i="26"/>
  <c r="L91" i="26" l="1"/>
  <c r="L22" i="26"/>
  <c r="K62" i="26" l="1"/>
  <c r="K72" i="26" s="1"/>
  <c r="L101" i="26"/>
  <c r="L23" i="26" l="1"/>
  <c r="L24" i="26" s="1"/>
  <c r="L25" i="26" s="1"/>
  <c r="K73" i="26"/>
  <c r="K86" i="26" s="1"/>
  <c r="K85" i="26"/>
  <c r="K83" i="26" l="1"/>
  <c r="M22" i="26" l="1"/>
  <c r="M91" i="26"/>
  <c r="L62" i="26" l="1"/>
  <c r="L72" i="26" s="1"/>
  <c r="M101" i="26"/>
  <c r="M23" i="26" l="1"/>
  <c r="M24" i="26" s="1"/>
  <c r="M25" i="26" s="1"/>
  <c r="L73" i="26"/>
  <c r="L86" i="26" s="1"/>
  <c r="L85" i="26"/>
  <c r="L83" i="26" l="1"/>
  <c r="D87" i="26" l="1"/>
  <c r="E9" i="26" s="1"/>
  <c r="E87" i="26" l="1"/>
  <c r="F9" i="26" l="1"/>
  <c r="F87" i="26"/>
  <c r="G9" i="26" s="1"/>
  <c r="G87" i="26" l="1"/>
  <c r="H9" i="26" s="1"/>
  <c r="H87" i="26" l="1"/>
  <c r="I9" i="26" s="1"/>
  <c r="I87" i="26" l="1"/>
  <c r="J9" i="26" l="1"/>
  <c r="J87" i="26"/>
  <c r="K9" i="26" s="1"/>
  <c r="K87" i="26" l="1"/>
  <c r="L9" i="26" s="1"/>
  <c r="L87" i="26" l="1"/>
  <c r="M9" i="26" s="1"/>
  <c r="M87" i="26" l="1"/>
  <c r="N9" i="26" s="1"/>
  <c r="N87" i="26" l="1"/>
  <c r="O9" i="26" l="1"/>
  <c r="M112" i="50" l="1"/>
  <c r="G112" i="50"/>
  <c r="L112" i="50"/>
  <c r="J112" i="50"/>
  <c r="I112" i="50"/>
  <c r="H112" i="50"/>
  <c r="K112" i="50"/>
  <c r="O112" i="50"/>
  <c r="N112" i="50"/>
  <c r="F112" i="50"/>
  <c r="F81" i="50" l="1"/>
  <c r="F84" i="50" s="1"/>
  <c r="F88" i="50" s="1"/>
  <c r="F116" i="50"/>
  <c r="F85" i="50" s="1"/>
  <c r="F89" i="50" s="1"/>
  <c r="G116" i="50"/>
  <c r="G81" i="50"/>
  <c r="G84" i="50" s="1"/>
  <c r="H116" i="50"/>
  <c r="H81" i="50"/>
  <c r="H84" i="50" s="1"/>
  <c r="N116" i="50"/>
  <c r="N81" i="50"/>
  <c r="N84" i="50" s="1"/>
  <c r="I81" i="50"/>
  <c r="I84" i="50" s="1"/>
  <c r="I116" i="50"/>
  <c r="M81" i="50"/>
  <c r="M84" i="50" s="1"/>
  <c r="M116" i="50"/>
  <c r="O116" i="50"/>
  <c r="O38" i="50" s="1"/>
  <c r="O39" i="50" s="1"/>
  <c r="O81" i="50"/>
  <c r="O84" i="50" s="1"/>
  <c r="J81" i="50"/>
  <c r="J84" i="50" s="1"/>
  <c r="J116" i="50"/>
  <c r="K116" i="50"/>
  <c r="K81" i="50"/>
  <c r="K84" i="50" s="1"/>
  <c r="L81" i="50"/>
  <c r="L84" i="50" s="1"/>
  <c r="L116" i="50"/>
  <c r="O40" i="50" l="1"/>
  <c r="F86" i="50"/>
  <c r="F90" i="50" s="1"/>
  <c r="F9" i="50" s="1"/>
  <c r="F38" i="50"/>
  <c r="F40" i="50" s="1"/>
  <c r="O88" i="50"/>
  <c r="I38" i="50"/>
  <c r="I39" i="50" s="1"/>
  <c r="I85" i="50"/>
  <c r="I89" i="50" s="1"/>
  <c r="H88" i="50"/>
  <c r="L38" i="50"/>
  <c r="L39" i="50" s="1"/>
  <c r="L85" i="50"/>
  <c r="L89" i="50" s="1"/>
  <c r="L88" i="50"/>
  <c r="O85" i="50"/>
  <c r="O89" i="50" s="1"/>
  <c r="I88" i="50"/>
  <c r="H85" i="50"/>
  <c r="H89" i="50" s="1"/>
  <c r="H38" i="50"/>
  <c r="H39" i="50" s="1"/>
  <c r="K88" i="50"/>
  <c r="J38" i="50"/>
  <c r="J39" i="50" s="1"/>
  <c r="J85" i="50"/>
  <c r="J89" i="50" s="1"/>
  <c r="M38" i="50"/>
  <c r="M39" i="50" s="1"/>
  <c r="M85" i="50"/>
  <c r="M89" i="50" s="1"/>
  <c r="N88" i="50"/>
  <c r="G88" i="50"/>
  <c r="F39" i="50"/>
  <c r="K38" i="50"/>
  <c r="K39" i="50" s="1"/>
  <c r="K85" i="50"/>
  <c r="K89" i="50" s="1"/>
  <c r="J88" i="50"/>
  <c r="M88" i="50"/>
  <c r="N38" i="50"/>
  <c r="N39" i="50" s="1"/>
  <c r="N85" i="50"/>
  <c r="N89" i="50" s="1"/>
  <c r="G38" i="50"/>
  <c r="G85" i="50"/>
  <c r="G89" i="50" s="1"/>
  <c r="M86" i="50" l="1"/>
  <c r="J86" i="50"/>
  <c r="G86" i="50"/>
  <c r="G90" i="50" s="1"/>
  <c r="K86" i="50"/>
  <c r="L40" i="50"/>
  <c r="I40" i="50"/>
  <c r="H40" i="50"/>
  <c r="G40" i="50"/>
  <c r="G39" i="50"/>
  <c r="K40" i="50"/>
  <c r="M40" i="50"/>
  <c r="I86" i="50"/>
  <c r="L86" i="50"/>
  <c r="H86" i="50"/>
  <c r="O86" i="50"/>
  <c r="N40" i="50"/>
  <c r="N86" i="50"/>
  <c r="J40" i="50"/>
  <c r="G9" i="50" l="1"/>
  <c r="H90" i="50"/>
  <c r="H9" i="50" l="1"/>
  <c r="I90" i="50"/>
  <c r="J90" i="50" l="1"/>
  <c r="I9" i="50"/>
  <c r="J9" i="50" l="1"/>
  <c r="K90" i="50"/>
  <c r="K9" i="50" l="1"/>
  <c r="L90" i="50"/>
  <c r="M90" i="50" l="1"/>
  <c r="L9" i="50"/>
  <c r="M9" i="50" l="1"/>
  <c r="N90" i="50"/>
  <c r="N9" i="50" l="1"/>
  <c r="O90" i="50"/>
  <c r="O9" i="50" l="1"/>
</calcChain>
</file>

<file path=xl/comments1.xml><?xml version="1.0" encoding="utf-8"?>
<comments xmlns="http://schemas.openxmlformats.org/spreadsheetml/2006/main">
  <authors>
    <author>Author</author>
  </authors>
  <commentList>
    <comment ref="D1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ISOR analysis failed to apply the 0.9 EER affecting credit generation by heavy duty-spark ignition vehicles that use NG.  The updated analysis corrects this issue.</t>
        </r>
      </text>
    </comment>
  </commentList>
</comments>
</file>

<file path=xl/sharedStrings.xml><?xml version="1.0" encoding="utf-8"?>
<sst xmlns="http://schemas.openxmlformats.org/spreadsheetml/2006/main" count="483" uniqueCount="109">
  <si>
    <t>Gasoline Demand</t>
  </si>
  <si>
    <t>Diesel Demand</t>
  </si>
  <si>
    <t>2010 Baseline CI</t>
  </si>
  <si>
    <t>CI Reduction</t>
  </si>
  <si>
    <t>Corn Ethanol</t>
  </si>
  <si>
    <t>Cane Ethanol</t>
  </si>
  <si>
    <t>Molasses Ethanol</t>
  </si>
  <si>
    <t>Electricity for LDVs</t>
  </si>
  <si>
    <t>Renewable Diesel</t>
  </si>
  <si>
    <t>Electricity for HDVs/Rail</t>
  </si>
  <si>
    <t xml:space="preserve">CARBOB </t>
  </si>
  <si>
    <t>CARB Diesel</t>
  </si>
  <si>
    <t>Hydrogen</t>
  </si>
  <si>
    <r>
      <t>Cell. Ethanol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</si>
  <si>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Fuel/Vehicle Combo</t>
  </si>
  <si>
    <t>EER relative to gasoline</t>
  </si>
  <si>
    <t>EER relative to diesel</t>
  </si>
  <si>
    <t>gas/LDV or E85/FFV</t>
  </si>
  <si>
    <t>CNG/LDV</t>
  </si>
  <si>
    <t>Electricty/BEV or PHEV</t>
  </si>
  <si>
    <t>Hydrogen/FCV</t>
  </si>
  <si>
    <t>LDVs</t>
  </si>
  <si>
    <t>HDVs</t>
  </si>
  <si>
    <t>Disel or BD/HDV</t>
  </si>
  <si>
    <t>CNG or LPG/HDV</t>
  </si>
  <si>
    <t>Units</t>
  </si>
  <si>
    <t>Renewable Gasoline</t>
  </si>
  <si>
    <t>Cellulosic Ethanol</t>
  </si>
  <si>
    <t>mm gal</t>
  </si>
  <si>
    <t>1000 MWH</t>
  </si>
  <si>
    <t>Biofuel</t>
  </si>
  <si>
    <t>Energy Density</t>
  </si>
  <si>
    <t>Ethanol</t>
  </si>
  <si>
    <t>Total Ethanol</t>
  </si>
  <si>
    <t>CaRFG</t>
  </si>
  <si>
    <t>mm gal DGE</t>
  </si>
  <si>
    <t>Total million MJs</t>
  </si>
  <si>
    <t>MMTs of Credits or Deficits</t>
  </si>
  <si>
    <t>MJ/gal</t>
  </si>
  <si>
    <t>MJ/MWH</t>
  </si>
  <si>
    <t>Average Annual . CI Assumptions for Each Fuel (g/MJ)</t>
  </si>
  <si>
    <t>Sorghum/Corn Ethanol</t>
  </si>
  <si>
    <t>Annual Credit Balance</t>
  </si>
  <si>
    <t>Total Gasoline Side Credits</t>
  </si>
  <si>
    <t>Total Diesel Side Credits</t>
  </si>
  <si>
    <t>CARBOB Deficits</t>
  </si>
  <si>
    <t>Diesel Deficits</t>
  </si>
  <si>
    <r>
      <t>Renewable Gasoline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</si>
  <si>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CARBOB (energy adjusted)</t>
  </si>
  <si>
    <t>Diesel (energy adjusted)</t>
  </si>
  <si>
    <t>Diesel (non-adjusted)</t>
  </si>
  <si>
    <t>Total Credits</t>
  </si>
  <si>
    <t>Total Deficits</t>
  </si>
  <si>
    <t>Credit Bank (Banked Credit Balance up to 2013 =1.35)</t>
  </si>
  <si>
    <t>Gasoline As CARFG + E85</t>
  </si>
  <si>
    <t>Total biodiesel %</t>
  </si>
  <si>
    <t>Total Biodiesel (MM gal.)</t>
  </si>
  <si>
    <t xml:space="preserve"> </t>
  </si>
  <si>
    <t>Electricity Use - Mn MWh</t>
  </si>
  <si>
    <t>mm gal GGE</t>
  </si>
  <si>
    <t>Renewable Diesel %</t>
  </si>
  <si>
    <t>Total HD NG (DGEs)</t>
  </si>
  <si>
    <t xml:space="preserve">Fuel Volumes  Table </t>
  </si>
  <si>
    <t>EER Calculation</t>
  </si>
  <si>
    <t>Misc Corn Ethanol</t>
  </si>
  <si>
    <t>Gasoline Std</t>
  </si>
  <si>
    <t>Diesel Std</t>
  </si>
  <si>
    <t>Sorghum/Corn/Wheat Ethanol</t>
  </si>
  <si>
    <t>Refinery Credits</t>
  </si>
  <si>
    <t>Conventional Natural Gas</t>
  </si>
  <si>
    <t>Renewable Natural Gas</t>
  </si>
  <si>
    <t>Avg of LNG&amp;CNG</t>
  </si>
  <si>
    <t>Renewable NG</t>
  </si>
  <si>
    <t>Conv. Natural Gas</t>
  </si>
  <si>
    <t>Conventional NG</t>
  </si>
  <si>
    <t>Base Case</t>
  </si>
  <si>
    <t>Total Biodiesel</t>
  </si>
  <si>
    <t>Avg Biodiesel CI</t>
  </si>
  <si>
    <t>Biodiesel Total</t>
  </si>
  <si>
    <t>Biodiesel</t>
  </si>
  <si>
    <t>MMTs of Credit - End of Year</t>
  </si>
  <si>
    <t>Summary Results --------</t>
  </si>
  <si>
    <t>Avg of CONV. LNG&amp;CNG</t>
  </si>
  <si>
    <t>CNG in LDVs and MDVs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</si>
  <si>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</si>
  <si>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</t>
  </si>
  <si>
    <t xml:space="preserve">                                                                                      </t>
  </si>
  <si>
    <t>CNG/LDV/mDV</t>
  </si>
  <si>
    <t>Electricity for LDVs (EER Adjusted)</t>
  </si>
  <si>
    <t>Average Annual . CI Assumptions for Each Fuel (g/MJ) (Revised in Draft 3-25-2015)</t>
  </si>
  <si>
    <t>MJ/GGE</t>
  </si>
  <si>
    <t>MJ/DGE</t>
  </si>
  <si>
    <t>Hydrogen EER Adj.)</t>
  </si>
  <si>
    <t>Electricity for LDVs (EER  Adj.)</t>
  </si>
  <si>
    <t>Electricity for HDVs/Rail (EER Adj.)</t>
  </si>
  <si>
    <t>Cell. Ethanol</t>
  </si>
  <si>
    <t>Analysis with Fuel Volumes and CIs in the ISOR</t>
  </si>
  <si>
    <t>Electricity/BEV or PHEV</t>
  </si>
  <si>
    <t>Diesel or BD/HDV</t>
  </si>
  <si>
    <t>ISOR Results</t>
  </si>
  <si>
    <t>April 3 Workshop --------</t>
  </si>
  <si>
    <t>April 3 Results -- Compliance Curve With Revised Greet 2.0  CIs and 2014 LRT Data</t>
  </si>
  <si>
    <t>Gasoline 2010 Baseline</t>
  </si>
  <si>
    <t>Diesel 2010 baseline</t>
  </si>
  <si>
    <t>Analysis of Compliance Curve Reflecting the Impact of May 2015 Proposed 15 Day Changes</t>
  </si>
  <si>
    <t xml:space="preserve">Scenario Provided at Apr 3 Workshop </t>
  </si>
  <si>
    <t xml:space="preserve">Scenario Included in ISOR </t>
  </si>
  <si>
    <t>Scenario Based on 15 day Proposed Changes</t>
  </si>
  <si>
    <t>Annual Carry-Over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</si>
</sst>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0.0"/>
    <numFmt numFmtId="166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Tahoma"/>
      <family val="2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43" fontId="5" fillId="0" borderId="0" applyFont="0" applyFill="0" applyBorder="0" applyAlignment="0" applyProtection="0"/>
    <xf numFmtId="0" fontId="10" fillId="0" borderId="0"/>
    <xf numFmtId="0" fontId="3" fillId="0" borderId="0"/>
    <xf numFmtId="0" fontId="5" fillId="0" borderId="0"/>
  </cellStyleXfs>
  <cellXfs count="195">
    <xf numFmtId="0" fontId="0" fillId="0" borderId="0" xfId="0"/>
    <xf numFmtId="3" fontId="0" fillId="0" borderId="0" xfId="0" applyNumberFormat="1"/>
    <xf numFmtId="0" fontId="1" fillId="0" borderId="1" xfId="0" applyFont="1" applyBorder="1"/>
    <xf numFmtId="2" fontId="1" fillId="0" borderId="1" xfId="0" applyNumberFormat="1" applyFont="1" applyBorder="1"/>
    <xf numFmtId="0" fontId="1" fillId="3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/>
    <xf numFmtId="0" fontId="3" fillId="0" borderId="0" xfId="0" applyFont="1"/>
    <xf numFmtId="0" fontId="1" fillId="0" borderId="3" xfId="0" applyFont="1" applyFill="1" applyBorder="1"/>
    <xf numFmtId="3" fontId="0" fillId="0" borderId="1" xfId="0" applyNumberFormat="1" applyFont="1" applyBorder="1"/>
    <xf numFmtId="3" fontId="0" fillId="0" borderId="1" xfId="0" applyNumberFormat="1" applyFont="1" applyFill="1" applyBorder="1"/>
    <xf numFmtId="10" fontId="0" fillId="0" borderId="0" xfId="0" applyNumberFormat="1" applyFont="1" applyBorder="1"/>
    <xf numFmtId="0" fontId="1" fillId="0" borderId="3" xfId="0" applyFont="1" applyBorder="1"/>
    <xf numFmtId="3" fontId="0" fillId="0" borderId="0" xfId="0" applyNumberFormat="1" applyFont="1" applyBorder="1" applyAlignment="1">
      <alignment horizontal="center"/>
    </xf>
    <xf numFmtId="2" fontId="1" fillId="0" borderId="1" xfId="0" applyNumberFormat="1" applyFont="1" applyBorder="1" applyAlignment="1"/>
    <xf numFmtId="2" fontId="1" fillId="0" borderId="0" xfId="0" applyNumberFormat="1" applyFont="1" applyBorder="1" applyAlignment="1"/>
    <xf numFmtId="2" fontId="0" fillId="0" borderId="0" xfId="0" applyNumberFormat="1"/>
    <xf numFmtId="4" fontId="1" fillId="0" borderId="1" xfId="0" applyNumberFormat="1" applyFont="1" applyBorder="1" applyAlignment="1"/>
    <xf numFmtId="164" fontId="0" fillId="0" borderId="1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4" fillId="0" borderId="1" xfId="0" applyFont="1" applyBorder="1"/>
    <xf numFmtId="164" fontId="0" fillId="4" borderId="1" xfId="0" applyNumberFormat="1" applyFont="1" applyFill="1" applyBorder="1" applyAlignment="1">
      <alignment horizontal="right"/>
    </xf>
    <xf numFmtId="0" fontId="0" fillId="5" borderId="0" xfId="0" applyFill="1"/>
    <xf numFmtId="0" fontId="0" fillId="6" borderId="0" xfId="0" applyFill="1"/>
    <xf numFmtId="0" fontId="7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10" fontId="3" fillId="0" borderId="0" xfId="0" applyNumberFormat="1" applyFont="1" applyFill="1" applyBorder="1"/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1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/>
    <xf numFmtId="2" fontId="1" fillId="0" borderId="1" xfId="0" applyNumberFormat="1" applyFont="1" applyFill="1" applyBorder="1" applyAlignment="1"/>
    <xf numFmtId="0" fontId="1" fillId="0" borderId="0" xfId="0" applyFont="1"/>
    <xf numFmtId="3" fontId="0" fillId="4" borderId="1" xfId="0" applyNumberFormat="1" applyFont="1" applyFill="1" applyBorder="1"/>
    <xf numFmtId="3" fontId="0" fillId="4" borderId="1" xfId="0" applyNumberFormat="1" applyFill="1" applyBorder="1"/>
    <xf numFmtId="2" fontId="1" fillId="0" borderId="0" xfId="0" applyNumberFormat="1" applyFont="1"/>
    <xf numFmtId="165" fontId="0" fillId="4" borderId="1" xfId="0" applyNumberFormat="1" applyFont="1" applyFill="1" applyBorder="1" applyAlignment="1">
      <alignment horizontal="center"/>
    </xf>
    <xf numFmtId="10" fontId="0" fillId="4" borderId="1" xfId="0" applyNumberFormat="1" applyFill="1" applyBorder="1"/>
    <xf numFmtId="0" fontId="1" fillId="0" borderId="5" xfId="0" applyFont="1" applyBorder="1"/>
    <xf numFmtId="0" fontId="1" fillId="0" borderId="11" xfId="0" applyFont="1" applyBorder="1"/>
    <xf numFmtId="0" fontId="1" fillId="0" borderId="11" xfId="0" applyFont="1" applyFill="1" applyBorder="1"/>
    <xf numFmtId="10" fontId="1" fillId="4" borderId="1" xfId="0" applyNumberFormat="1" applyFont="1" applyFill="1" applyBorder="1"/>
    <xf numFmtId="0" fontId="1" fillId="2" borderId="10" xfId="0" applyFont="1" applyFill="1" applyBorder="1" applyAlignment="1">
      <alignment horizontal="center"/>
    </xf>
    <xf numFmtId="3" fontId="0" fillId="0" borderId="7" xfId="0" applyNumberFormat="1" applyFont="1" applyBorder="1"/>
    <xf numFmtId="3" fontId="0" fillId="0" borderId="7" xfId="0" applyNumberFormat="1" applyBorder="1"/>
    <xf numFmtId="10" fontId="1" fillId="4" borderId="4" xfId="0" applyNumberFormat="1" applyFont="1" applyFill="1" applyBorder="1"/>
    <xf numFmtId="3" fontId="3" fillId="0" borderId="1" xfId="0" applyNumberFormat="1" applyFont="1" applyFill="1" applyBorder="1"/>
    <xf numFmtId="3" fontId="3" fillId="0" borderId="1" xfId="0" applyNumberFormat="1" applyFont="1" applyBorder="1"/>
    <xf numFmtId="3" fontId="3" fillId="0" borderId="1" xfId="0" applyNumberFormat="1" applyFont="1" applyFill="1" applyBorder="1" applyAlignment="1">
      <alignment horizontal="right"/>
    </xf>
    <xf numFmtId="10" fontId="3" fillId="0" borderId="4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 applyAlignment="1"/>
    <xf numFmtId="0" fontId="1" fillId="0" borderId="1" xfId="0" applyFont="1" applyBorder="1" applyAlignment="1">
      <alignment horizontal="right"/>
    </xf>
    <xf numFmtId="0" fontId="0" fillId="4" borderId="0" xfId="0" applyFill="1" applyBorder="1"/>
    <xf numFmtId="0" fontId="1" fillId="4" borderId="0" xfId="0" applyFont="1" applyFill="1" applyBorder="1" applyAlignment="1">
      <alignment horizontal="right"/>
    </xf>
    <xf numFmtId="164" fontId="0" fillId="4" borderId="1" xfId="0" applyNumberFormat="1" applyFont="1" applyFill="1" applyBorder="1"/>
    <xf numFmtId="164" fontId="0" fillId="4" borderId="2" xfId="0" applyNumberFormat="1" applyFont="1" applyFill="1" applyBorder="1" applyAlignment="1">
      <alignment horizontal="right"/>
    </xf>
    <xf numFmtId="164" fontId="0" fillId="4" borderId="1" xfId="0" applyNumberFormat="1" applyFill="1" applyBorder="1"/>
    <xf numFmtId="164" fontId="1" fillId="4" borderId="0" xfId="0" applyNumberFormat="1" applyFont="1" applyFill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4" borderId="0" xfId="0" applyFont="1" applyFill="1" applyBorder="1"/>
    <xf numFmtId="4" fontId="1" fillId="4" borderId="0" xfId="0" applyNumberFormat="1" applyFont="1" applyFill="1" applyBorder="1" applyAlignment="1"/>
    <xf numFmtId="3" fontId="0" fillId="4" borderId="0" xfId="0" applyNumberFormat="1" applyFont="1" applyFill="1" applyBorder="1"/>
    <xf numFmtId="2" fontId="1" fillId="0" borderId="5" xfId="0" applyNumberFormat="1" applyFont="1" applyBorder="1" applyAlignment="1"/>
    <xf numFmtId="0" fontId="1" fillId="0" borderId="5" xfId="0" applyFont="1" applyBorder="1" applyAlignment="1"/>
    <xf numFmtId="0" fontId="4" fillId="0" borderId="5" xfId="0" applyFont="1" applyBorder="1" applyAlignment="1"/>
    <xf numFmtId="0" fontId="1" fillId="0" borderId="5" xfId="0" applyFont="1" applyFill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4" fillId="0" borderId="5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0" fillId="0" borderId="1" xfId="0" applyNumberFormat="1" applyBorder="1"/>
    <xf numFmtId="2" fontId="0" fillId="0" borderId="1" xfId="0" applyNumberFormat="1" applyBorder="1"/>
    <xf numFmtId="166" fontId="0" fillId="4" borderId="1" xfId="0" applyNumberFormat="1" applyFill="1" applyBorder="1"/>
    <xf numFmtId="10" fontId="0" fillId="4" borderId="5" xfId="0" applyNumberFormat="1" applyFill="1" applyBorder="1"/>
    <xf numFmtId="2" fontId="0" fillId="4" borderId="10" xfId="0" applyNumberFormat="1" applyFill="1" applyBorder="1"/>
    <xf numFmtId="3" fontId="0" fillId="4" borderId="2" xfId="0" applyNumberFormat="1" applyFill="1" applyBorder="1"/>
    <xf numFmtId="3" fontId="3" fillId="4" borderId="1" xfId="0" applyNumberFormat="1" applyFont="1" applyFill="1" applyBorder="1"/>
    <xf numFmtId="166" fontId="0" fillId="4" borderId="0" xfId="0" applyNumberFormat="1" applyFill="1" applyBorder="1"/>
    <xf numFmtId="165" fontId="1" fillId="4" borderId="1" xfId="0" applyNumberFormat="1" applyFont="1" applyFill="1" applyBorder="1"/>
    <xf numFmtId="3" fontId="9" fillId="4" borderId="14" xfId="0" applyNumberFormat="1" applyFont="1" applyFill="1" applyBorder="1"/>
    <xf numFmtId="3" fontId="9" fillId="4" borderId="1" xfId="0" applyNumberFormat="1" applyFont="1" applyFill="1" applyBorder="1"/>
    <xf numFmtId="10" fontId="0" fillId="4" borderId="8" xfId="0" applyNumberFormat="1" applyFill="1" applyBorder="1"/>
    <xf numFmtId="10" fontId="0" fillId="4" borderId="9" xfId="0" applyNumberFormat="1" applyFill="1" applyBorder="1"/>
    <xf numFmtId="10" fontId="0" fillId="4" borderId="13" xfId="0" applyNumberFormat="1" applyFill="1" applyBorder="1"/>
    <xf numFmtId="0" fontId="1" fillId="2" borderId="3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right"/>
    </xf>
    <xf numFmtId="0" fontId="0" fillId="8" borderId="17" xfId="0" applyFill="1" applyBorder="1"/>
    <xf numFmtId="0" fontId="1" fillId="8" borderId="17" xfId="0" applyFont="1" applyFill="1" applyBorder="1" applyAlignment="1">
      <alignment horizontal="right"/>
    </xf>
    <xf numFmtId="166" fontId="1" fillId="8" borderId="17" xfId="0" applyNumberFormat="1" applyFont="1" applyFill="1" applyBorder="1"/>
    <xf numFmtId="166" fontId="1" fillId="8" borderId="18" xfId="0" applyNumberFormat="1" applyFont="1" applyFill="1" applyBorder="1"/>
    <xf numFmtId="3" fontId="11" fillId="7" borderId="1" xfId="0" applyNumberFormat="1" applyFont="1" applyFill="1" applyBorder="1"/>
    <xf numFmtId="166" fontId="11" fillId="9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2" fontId="1" fillId="4" borderId="1" xfId="0" applyNumberFormat="1" applyFont="1" applyFill="1" applyBorder="1"/>
    <xf numFmtId="0" fontId="0" fillId="4" borderId="0" xfId="0" applyFill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0" fillId="0" borderId="15" xfId="0" applyBorder="1" applyAlignment="1">
      <alignment horizontal="left"/>
    </xf>
    <xf numFmtId="164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4" borderId="20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" fontId="1" fillId="4" borderId="21" xfId="0" applyNumberFormat="1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center"/>
    </xf>
    <xf numFmtId="2" fontId="1" fillId="11" borderId="1" xfId="0" applyNumberFormat="1" applyFont="1" applyFill="1" applyBorder="1"/>
    <xf numFmtId="1" fontId="1" fillId="11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2" fontId="1" fillId="4" borderId="8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2" fontId="1" fillId="4" borderId="23" xfId="0" applyNumberFormat="1" applyFont="1" applyFill="1" applyBorder="1" applyAlignment="1">
      <alignment horizontal="center"/>
    </xf>
    <xf numFmtId="2" fontId="1" fillId="4" borderId="24" xfId="0" applyNumberFormat="1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3" fontId="1" fillId="11" borderId="1" xfId="0" applyNumberFormat="1" applyFont="1" applyFill="1" applyBorder="1" applyAlignment="1">
      <alignment horizontal="right"/>
    </xf>
    <xf numFmtId="15" fontId="12" fillId="0" borderId="0" xfId="0" applyNumberFormat="1" applyFont="1" applyAlignment="1">
      <alignment horizontal="center"/>
    </xf>
    <xf numFmtId="3" fontId="1" fillId="11" borderId="1" xfId="0" applyNumberFormat="1" applyFont="1" applyFill="1" applyBorder="1"/>
    <xf numFmtId="165" fontId="1" fillId="11" borderId="1" xfId="0" applyNumberFormat="1" applyFont="1" applyFill="1" applyBorder="1"/>
    <xf numFmtId="0" fontId="1" fillId="0" borderId="29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1" fillId="11" borderId="0" xfId="0" applyNumberFormat="1" applyFont="1" applyFill="1" applyBorder="1"/>
    <xf numFmtId="2" fontId="1" fillId="11" borderId="0" xfId="0" applyNumberFormat="1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11" borderId="25" xfId="0" applyNumberFormat="1" applyFont="1" applyFill="1" applyBorder="1" applyAlignment="1">
      <alignment horizontal="center"/>
    </xf>
    <xf numFmtId="1" fontId="1" fillId="11" borderId="26" xfId="0" applyNumberFormat="1" applyFont="1" applyFill="1" applyBorder="1" applyAlignment="1">
      <alignment horizontal="center"/>
    </xf>
    <xf numFmtId="1" fontId="1" fillId="11" borderId="27" xfId="0" applyNumberFormat="1" applyFont="1" applyFill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2" fontId="1" fillId="2" borderId="1" xfId="0" applyNumberFormat="1" applyFont="1" applyFill="1" applyBorder="1"/>
    <xf numFmtId="1" fontId="1" fillId="4" borderId="1" xfId="0" applyNumberFormat="1" applyFont="1" applyFill="1" applyBorder="1"/>
    <xf numFmtId="3" fontId="0" fillId="4" borderId="7" xfId="0" applyNumberFormat="1" applyFont="1" applyFill="1" applyBorder="1"/>
    <xf numFmtId="3" fontId="0" fillId="4" borderId="7" xfId="0" applyNumberFormat="1" applyFill="1" applyBorder="1"/>
    <xf numFmtId="1" fontId="1" fillId="4" borderId="25" xfId="0" applyNumberFormat="1" applyFont="1" applyFill="1" applyBorder="1" applyAlignment="1">
      <alignment horizontal="center"/>
    </xf>
    <xf numFmtId="1" fontId="1" fillId="4" borderId="26" xfId="0" applyNumberFormat="1" applyFont="1" applyFill="1" applyBorder="1" applyAlignment="1">
      <alignment horizontal="center"/>
    </xf>
    <xf numFmtId="1" fontId="1" fillId="4" borderId="27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/>
    <xf numFmtId="3" fontId="1" fillId="0" borderId="1" xfId="0" applyNumberFormat="1" applyFont="1" applyBorder="1" applyAlignment="1"/>
    <xf numFmtId="165" fontId="1" fillId="2" borderId="1" xfId="0" applyNumberFormat="1" applyFont="1" applyFill="1" applyBorder="1"/>
    <xf numFmtId="0" fontId="1" fillId="2" borderId="1" xfId="0" applyFont="1" applyFill="1" applyBorder="1"/>
    <xf numFmtId="2" fontId="1" fillId="2" borderId="0" xfId="0" applyNumberFormat="1" applyFont="1" applyFill="1" applyBorder="1"/>
    <xf numFmtId="2" fontId="1" fillId="2" borderId="30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2" fontId="1" fillId="2" borderId="33" xfId="0" applyNumberFormat="1" applyFont="1" applyFill="1" applyBorder="1"/>
    <xf numFmtId="2" fontId="1" fillId="2" borderId="34" xfId="0" applyNumberFormat="1" applyFont="1" applyFill="1" applyBorder="1"/>
    <xf numFmtId="2" fontId="1" fillId="2" borderId="35" xfId="0" applyNumberFormat="1" applyFont="1" applyFill="1" applyBorder="1"/>
    <xf numFmtId="2" fontId="1" fillId="2" borderId="36" xfId="0" applyNumberFormat="1" applyFont="1" applyFill="1" applyBorder="1"/>
    <xf numFmtId="2" fontId="1" fillId="2" borderId="37" xfId="0" applyNumberFormat="1" applyFont="1" applyFill="1" applyBorder="1"/>
    <xf numFmtId="0" fontId="1" fillId="0" borderId="10" xfId="0" applyFont="1" applyFill="1" applyBorder="1" applyAlignment="1">
      <alignment horizontal="right"/>
    </xf>
    <xf numFmtId="166" fontId="0" fillId="4" borderId="10" xfId="0" applyNumberFormat="1" applyFill="1" applyBorder="1"/>
    <xf numFmtId="165" fontId="1" fillId="2" borderId="38" xfId="0" applyNumberFormat="1" applyFont="1" applyFill="1" applyBorder="1"/>
    <xf numFmtId="165" fontId="1" fillId="2" borderId="39" xfId="0" applyNumberFormat="1" applyFont="1" applyFill="1" applyBorder="1"/>
    <xf numFmtId="165" fontId="1" fillId="2" borderId="40" xfId="0" applyNumberFormat="1" applyFont="1" applyFill="1" applyBorder="1"/>
    <xf numFmtId="165" fontId="1" fillId="2" borderId="7" xfId="0" applyNumberFormat="1" applyFont="1" applyFill="1" applyBorder="1"/>
    <xf numFmtId="165" fontId="1" fillId="2" borderId="20" xfId="0" applyNumberFormat="1" applyFont="1" applyFill="1" applyBorder="1"/>
    <xf numFmtId="165" fontId="1" fillId="2" borderId="21" xfId="0" applyNumberFormat="1" applyFont="1" applyFill="1" applyBorder="1"/>
    <xf numFmtId="165" fontId="1" fillId="2" borderId="4" xfId="0" applyNumberFormat="1" applyFont="1" applyFill="1" applyBorder="1"/>
    <xf numFmtId="165" fontId="1" fillId="2" borderId="41" xfId="0" applyNumberFormat="1" applyFont="1" applyFill="1" applyBorder="1"/>
  </cellXfs>
  <cellStyles count="6">
    <cellStyle name="Comma 2" xfId="2"/>
    <cellStyle name="Normal" xfId="0" builtinId="0"/>
    <cellStyle name="Normal 2" xfId="3"/>
    <cellStyle name="Normal 2 3" xfId="1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44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x14ac:dyDescent="0.25"/>
  <cols>
    <col min="1" max="1" width="35.5703125" bestFit="1" customWidth="1"/>
    <col min="2" max="2" width="18.85546875" customWidth="1"/>
    <col min="3" max="3" width="23.28515625" customWidth="1"/>
    <col min="4" max="10" width="11.7109375" customWidth="1"/>
    <col min="11" max="11" width="11.28515625" customWidth="1"/>
    <col min="12" max="16" width="11" style="45" customWidth="1"/>
    <col min="17" max="21" width="9.140625" style="45"/>
  </cols>
  <sheetData>
    <row r="1" spans="1:21" ht="58.5" customHeight="1" x14ac:dyDescent="0.35">
      <c r="A1" s="144">
        <v>41974</v>
      </c>
      <c r="F1" s="35" t="s">
        <v>96</v>
      </c>
      <c r="G1" s="31"/>
      <c r="H1" s="31"/>
      <c r="I1" s="31"/>
      <c r="J1" s="31"/>
      <c r="K1" s="31"/>
      <c r="R1"/>
      <c r="S1"/>
      <c r="T1"/>
      <c r="U1"/>
    </row>
    <row r="2" spans="1:21" x14ac:dyDescent="0.25">
      <c r="B2" s="4" t="s">
        <v>2</v>
      </c>
      <c r="C2" s="4"/>
      <c r="D2" s="4">
        <v>2014</v>
      </c>
      <c r="E2" s="4">
        <v>2015</v>
      </c>
      <c r="F2" s="4">
        <v>2016</v>
      </c>
      <c r="G2" s="4">
        <v>2017</v>
      </c>
      <c r="H2" s="4">
        <v>2018</v>
      </c>
      <c r="I2" s="4">
        <v>2019</v>
      </c>
      <c r="J2" s="4">
        <v>2020</v>
      </c>
      <c r="K2" s="4">
        <v>2021</v>
      </c>
      <c r="L2" s="4">
        <v>2022</v>
      </c>
      <c r="M2" s="4">
        <v>2023</v>
      </c>
      <c r="N2" s="4">
        <v>2024</v>
      </c>
      <c r="O2" s="4">
        <v>2025</v>
      </c>
      <c r="U2"/>
    </row>
    <row r="3" spans="1:21" x14ac:dyDescent="0.25">
      <c r="B3" s="48" t="s">
        <v>65</v>
      </c>
      <c r="C3" s="3">
        <v>99.18</v>
      </c>
      <c r="D3" s="91">
        <v>97.96</v>
      </c>
      <c r="E3" s="91">
        <v>97.96</v>
      </c>
      <c r="F3" s="91">
        <f>(1-F5)*($C$3)</f>
        <v>97.196400000000011</v>
      </c>
      <c r="G3" s="91">
        <f t="shared" ref="G3:O3" si="0">(1-G5)*($C$3)</f>
        <v>95.708700000000007</v>
      </c>
      <c r="H3" s="91">
        <f t="shared" si="0"/>
        <v>94.221000000000004</v>
      </c>
      <c r="I3" s="91">
        <f t="shared" si="0"/>
        <v>91.741500000000016</v>
      </c>
      <c r="J3" s="91">
        <f t="shared" si="0"/>
        <v>89.262000000000015</v>
      </c>
      <c r="K3" s="91">
        <f t="shared" si="0"/>
        <v>89.262000000000015</v>
      </c>
      <c r="L3" s="91">
        <f t="shared" si="0"/>
        <v>89.262000000000015</v>
      </c>
      <c r="M3" s="91">
        <f t="shared" si="0"/>
        <v>89.262000000000015</v>
      </c>
      <c r="N3" s="91">
        <f t="shared" si="0"/>
        <v>89.262000000000015</v>
      </c>
      <c r="O3" s="91">
        <f t="shared" si="0"/>
        <v>89.262000000000015</v>
      </c>
      <c r="U3"/>
    </row>
    <row r="4" spans="1:21" ht="15.75" thickBot="1" x14ac:dyDescent="0.3">
      <c r="B4" s="48" t="s">
        <v>66</v>
      </c>
      <c r="C4" s="3">
        <v>102.82</v>
      </c>
      <c r="D4" s="91">
        <v>97.05</v>
      </c>
      <c r="E4" s="91">
        <v>97.05</v>
      </c>
      <c r="F4" s="94">
        <f t="shared" ref="F4:O4" si="1">(1-F5)*($C$4)</f>
        <v>100.7636</v>
      </c>
      <c r="G4" s="94">
        <f t="shared" si="1"/>
        <v>99.221299999999985</v>
      </c>
      <c r="H4" s="94">
        <f t="shared" si="1"/>
        <v>97.678999999999988</v>
      </c>
      <c r="I4" s="94">
        <f t="shared" si="1"/>
        <v>95.108499999999992</v>
      </c>
      <c r="J4" s="94">
        <f t="shared" si="1"/>
        <v>92.537999999999997</v>
      </c>
      <c r="K4" s="94">
        <f t="shared" si="1"/>
        <v>92.537999999999997</v>
      </c>
      <c r="L4" s="94">
        <f t="shared" si="1"/>
        <v>92.537999999999997</v>
      </c>
      <c r="M4" s="94">
        <f t="shared" si="1"/>
        <v>92.537999999999997</v>
      </c>
      <c r="N4" s="94">
        <f t="shared" si="1"/>
        <v>92.537999999999997</v>
      </c>
      <c r="O4" s="94">
        <f t="shared" si="1"/>
        <v>92.537999999999997</v>
      </c>
      <c r="U4"/>
    </row>
    <row r="5" spans="1:21" ht="15.75" thickBot="1" x14ac:dyDescent="0.3">
      <c r="C5" s="2" t="s">
        <v>3</v>
      </c>
      <c r="D5" s="53">
        <v>0.01</v>
      </c>
      <c r="E5" s="93">
        <v>0.01</v>
      </c>
      <c r="F5" s="101">
        <v>0.02</v>
      </c>
      <c r="G5" s="102">
        <v>3.5000000000000003E-2</v>
      </c>
      <c r="H5" s="102">
        <v>0.05</v>
      </c>
      <c r="I5" s="102">
        <v>7.4999999999999997E-2</v>
      </c>
      <c r="J5" s="102">
        <v>0.1</v>
      </c>
      <c r="K5" s="102">
        <v>0.1</v>
      </c>
      <c r="L5" s="102">
        <v>0.1</v>
      </c>
      <c r="M5" s="102">
        <v>0.1</v>
      </c>
      <c r="N5" s="102">
        <v>0.1</v>
      </c>
      <c r="O5" s="103">
        <v>0.1</v>
      </c>
      <c r="U5"/>
    </row>
    <row r="6" spans="1:21" x14ac:dyDescent="0.25">
      <c r="A6" s="30"/>
      <c r="B6" s="30"/>
      <c r="C6" s="68" t="s">
        <v>0</v>
      </c>
      <c r="D6" s="50">
        <v>14468.630452343679</v>
      </c>
      <c r="E6" s="50">
        <v>14323.944147820243</v>
      </c>
      <c r="F6" s="95">
        <v>14180.70470634204</v>
      </c>
      <c r="G6" s="95">
        <v>14038.897659278618</v>
      </c>
      <c r="H6" s="95">
        <v>13898.508682685831</v>
      </c>
      <c r="I6" s="95">
        <v>13759.523595858973</v>
      </c>
      <c r="J6" s="95">
        <v>13621.928359900383</v>
      </c>
      <c r="K6" s="95">
        <v>13417.599434501877</v>
      </c>
      <c r="L6" s="95">
        <v>13216.335442984349</v>
      </c>
      <c r="M6" s="95">
        <v>13018.090411339585</v>
      </c>
      <c r="N6" s="95">
        <v>12822.81905516949</v>
      </c>
      <c r="O6" s="95">
        <v>12630.476769341947</v>
      </c>
      <c r="U6"/>
    </row>
    <row r="7" spans="1:21" x14ac:dyDescent="0.25">
      <c r="A7" s="30"/>
      <c r="B7" s="30"/>
      <c r="C7" s="44" t="s">
        <v>1</v>
      </c>
      <c r="D7" s="50">
        <v>3732.1549999999997</v>
      </c>
      <c r="E7" s="50">
        <v>3788.1373249999992</v>
      </c>
      <c r="F7" s="50">
        <v>3844.9593848749987</v>
      </c>
      <c r="G7" s="50">
        <v>3902.6337756481234</v>
      </c>
      <c r="H7" s="50">
        <v>3961.1732822828449</v>
      </c>
      <c r="I7" s="50">
        <v>4020.5908815170869</v>
      </c>
      <c r="J7" s="50">
        <v>4080.8997447398428</v>
      </c>
      <c r="K7" s="50">
        <v>4142.1132409109405</v>
      </c>
      <c r="L7" s="50">
        <v>4204.244939524604</v>
      </c>
      <c r="M7" s="50">
        <v>4267.3086136174725</v>
      </c>
      <c r="N7" s="50">
        <v>4331.3182428217342</v>
      </c>
      <c r="O7" s="50">
        <v>4396.2880164640601</v>
      </c>
      <c r="U7"/>
    </row>
    <row r="8" spans="1:21" ht="15.75" thickBot="1" x14ac:dyDescent="0.3">
      <c r="C8" s="44" t="s">
        <v>58</v>
      </c>
      <c r="D8" s="92">
        <v>0.29446721311475416</v>
      </c>
      <c r="E8" s="92">
        <v>0.43953903587080023</v>
      </c>
      <c r="F8" s="92">
        <v>1.4955700260823033</v>
      </c>
      <c r="G8" s="92">
        <v>1.658969673051617</v>
      </c>
      <c r="H8" s="92">
        <v>1.881775328986379</v>
      </c>
      <c r="I8" s="92">
        <v>2.1758998892824928</v>
      </c>
      <c r="J8" s="92">
        <v>2.528780768390011</v>
      </c>
      <c r="K8" s="92">
        <v>2.9640897646069777</v>
      </c>
      <c r="L8" s="92">
        <v>3.4630928641404495</v>
      </c>
      <c r="M8" s="92">
        <v>4.026934276822888</v>
      </c>
      <c r="N8" s="92">
        <v>4.6566737281203965</v>
      </c>
      <c r="O8" s="92">
        <v>5.2737658648581958</v>
      </c>
      <c r="U8"/>
    </row>
    <row r="9" spans="1:21" ht="15.75" thickBot="1" x14ac:dyDescent="0.3">
      <c r="A9" s="105" t="s">
        <v>81</v>
      </c>
      <c r="B9" s="106"/>
      <c r="C9" s="107" t="s">
        <v>80</v>
      </c>
      <c r="D9" s="108">
        <f>C87</f>
        <v>5.5360950415297712</v>
      </c>
      <c r="E9" s="108">
        <f t="shared" ref="E9:O9" si="2">D87</f>
        <v>9.1887265866964469</v>
      </c>
      <c r="F9" s="108">
        <f t="shared" si="2"/>
        <v>12.588295464144013</v>
      </c>
      <c r="G9" s="108">
        <f t="shared" si="2"/>
        <v>14.68607464758702</v>
      </c>
      <c r="H9" s="108">
        <f t="shared" si="2"/>
        <v>15.412944193378928</v>
      </c>
      <c r="I9" s="108">
        <f t="shared" si="2"/>
        <v>12.500601121014231</v>
      </c>
      <c r="J9" s="108">
        <f t="shared" si="2"/>
        <v>6.2334759848385648</v>
      </c>
      <c r="K9" s="108">
        <f t="shared" si="2"/>
        <v>3.1667220677028611</v>
      </c>
      <c r="L9" s="108">
        <f t="shared" si="2"/>
        <v>2.4721501506043069</v>
      </c>
      <c r="M9" s="108">
        <f t="shared" si="2"/>
        <v>4.136649573302936</v>
      </c>
      <c r="N9" s="108">
        <f t="shared" si="2"/>
        <v>7.8370106820958574</v>
      </c>
      <c r="O9" s="109">
        <f t="shared" si="2"/>
        <v>13.504021386306658</v>
      </c>
      <c r="P9" s="97"/>
    </row>
    <row r="10" spans="1:21" ht="15.75" x14ac:dyDescent="0.25">
      <c r="A10" s="42"/>
      <c r="B10" s="43"/>
      <c r="C10" s="12" t="s">
        <v>57</v>
      </c>
      <c r="D10" s="51" t="s">
        <v>62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21" ht="24.75" customHeight="1" x14ac:dyDescent="0.25">
      <c r="A11" s="152" t="s">
        <v>30</v>
      </c>
      <c r="B11" s="153"/>
      <c r="C11" s="41" t="s">
        <v>25</v>
      </c>
      <c r="D11" s="58">
        <v>2014</v>
      </c>
      <c r="E11" s="58">
        <v>2015</v>
      </c>
      <c r="F11" s="58">
        <v>2016</v>
      </c>
      <c r="G11" s="58">
        <v>2017</v>
      </c>
      <c r="H11" s="58">
        <v>2018</v>
      </c>
      <c r="I11" s="58">
        <v>2019</v>
      </c>
      <c r="J11" s="58">
        <v>2020</v>
      </c>
      <c r="K11" s="58">
        <v>2021</v>
      </c>
      <c r="L11" s="58">
        <v>2022</v>
      </c>
      <c r="M11" s="58">
        <v>2023</v>
      </c>
      <c r="N11" s="58">
        <v>2024</v>
      </c>
      <c r="O11" s="58">
        <v>2025</v>
      </c>
      <c r="U11"/>
    </row>
    <row r="12" spans="1:21" ht="15" customHeight="1" x14ac:dyDescent="0.25">
      <c r="A12" s="82" t="s">
        <v>4</v>
      </c>
      <c r="B12" s="82"/>
      <c r="C12" s="55" t="s">
        <v>28</v>
      </c>
      <c r="D12" s="100">
        <v>1250</v>
      </c>
      <c r="E12" s="100">
        <v>1200</v>
      </c>
      <c r="F12" s="100">
        <v>1100</v>
      </c>
      <c r="G12" s="100">
        <v>1000</v>
      </c>
      <c r="H12" s="100">
        <v>825</v>
      </c>
      <c r="I12" s="100">
        <v>750</v>
      </c>
      <c r="J12" s="100">
        <v>700</v>
      </c>
      <c r="K12" s="100">
        <v>600</v>
      </c>
      <c r="L12" s="100">
        <v>550</v>
      </c>
      <c r="M12" s="100">
        <v>475</v>
      </c>
      <c r="N12" s="100">
        <v>400</v>
      </c>
      <c r="O12" s="100">
        <v>320</v>
      </c>
      <c r="U12"/>
    </row>
    <row r="13" spans="1:21" x14ac:dyDescent="0.25">
      <c r="A13" s="83" t="s">
        <v>5</v>
      </c>
      <c r="B13" s="83"/>
      <c r="C13" s="55" t="s">
        <v>28</v>
      </c>
      <c r="D13" s="100">
        <v>100</v>
      </c>
      <c r="E13" s="100">
        <v>150</v>
      </c>
      <c r="F13" s="100">
        <v>200</v>
      </c>
      <c r="G13" s="100">
        <v>250</v>
      </c>
      <c r="H13" s="100">
        <v>350</v>
      </c>
      <c r="I13" s="100">
        <v>400</v>
      </c>
      <c r="J13" s="100">
        <v>450</v>
      </c>
      <c r="K13" s="100">
        <v>500</v>
      </c>
      <c r="L13" s="100">
        <v>500</v>
      </c>
      <c r="M13" s="100">
        <v>500</v>
      </c>
      <c r="N13" s="100">
        <v>500</v>
      </c>
      <c r="O13" s="100">
        <v>500</v>
      </c>
      <c r="U13"/>
    </row>
    <row r="14" spans="1:21" x14ac:dyDescent="0.25">
      <c r="A14" s="84" t="s">
        <v>41</v>
      </c>
      <c r="B14" s="84"/>
      <c r="C14" s="55" t="s">
        <v>28</v>
      </c>
      <c r="D14" s="100">
        <v>100</v>
      </c>
      <c r="E14" s="100">
        <v>100</v>
      </c>
      <c r="F14" s="100">
        <v>100</v>
      </c>
      <c r="G14" s="100">
        <v>100</v>
      </c>
      <c r="H14" s="100">
        <v>100</v>
      </c>
      <c r="I14" s="100">
        <v>100</v>
      </c>
      <c r="J14" s="100">
        <v>100</v>
      </c>
      <c r="K14" s="100">
        <v>100</v>
      </c>
      <c r="L14" s="100">
        <v>100</v>
      </c>
      <c r="M14" s="100">
        <v>100</v>
      </c>
      <c r="N14" s="100">
        <v>100</v>
      </c>
      <c r="O14" s="100">
        <v>100</v>
      </c>
      <c r="U14"/>
    </row>
    <row r="15" spans="1:21" x14ac:dyDescent="0.25">
      <c r="A15" s="89" t="s">
        <v>64</v>
      </c>
      <c r="B15" s="84"/>
      <c r="C15" s="55" t="s">
        <v>28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U15"/>
    </row>
    <row r="16" spans="1:21" x14ac:dyDescent="0.25">
      <c r="A16" s="77" t="s">
        <v>67</v>
      </c>
      <c r="B16" s="84"/>
      <c r="C16" s="55" t="s">
        <v>28</v>
      </c>
      <c r="D16" s="100">
        <v>50</v>
      </c>
      <c r="E16" s="100">
        <v>50</v>
      </c>
      <c r="F16" s="100">
        <v>50</v>
      </c>
      <c r="G16" s="100">
        <v>75</v>
      </c>
      <c r="H16" s="100">
        <v>75</v>
      </c>
      <c r="I16" s="100">
        <v>75</v>
      </c>
      <c r="J16" s="100">
        <v>75</v>
      </c>
      <c r="K16" s="100">
        <v>75</v>
      </c>
      <c r="L16" s="100">
        <v>75</v>
      </c>
      <c r="M16" s="100">
        <v>75</v>
      </c>
      <c r="N16" s="100">
        <v>75</v>
      </c>
      <c r="O16" s="100">
        <v>75</v>
      </c>
      <c r="U16"/>
    </row>
    <row r="17" spans="1:21" x14ac:dyDescent="0.25">
      <c r="A17" s="83" t="s">
        <v>27</v>
      </c>
      <c r="B17" s="83"/>
      <c r="C17" s="55" t="s">
        <v>28</v>
      </c>
      <c r="D17" s="100">
        <v>0</v>
      </c>
      <c r="E17" s="100">
        <v>0</v>
      </c>
      <c r="F17" s="100">
        <v>5</v>
      </c>
      <c r="G17" s="100">
        <v>15</v>
      </c>
      <c r="H17" s="100">
        <v>50</v>
      </c>
      <c r="I17" s="100">
        <v>75</v>
      </c>
      <c r="J17" s="100">
        <v>100</v>
      </c>
      <c r="K17" s="100">
        <v>200</v>
      </c>
      <c r="L17" s="100">
        <v>250</v>
      </c>
      <c r="M17" s="100">
        <v>300</v>
      </c>
      <c r="N17" s="100">
        <v>350</v>
      </c>
      <c r="O17" s="100">
        <v>400</v>
      </c>
      <c r="U17"/>
    </row>
    <row r="18" spans="1:21" s="13" customFormat="1" ht="15.75" x14ac:dyDescent="0.25">
      <c r="A18" s="83" t="s">
        <v>6</v>
      </c>
      <c r="B18" s="83"/>
      <c r="C18" s="55" t="s">
        <v>28</v>
      </c>
      <c r="D18" s="100">
        <v>20</v>
      </c>
      <c r="E18" s="100">
        <v>20</v>
      </c>
      <c r="F18" s="100">
        <v>40</v>
      </c>
      <c r="G18" s="100">
        <v>40</v>
      </c>
      <c r="H18" s="100">
        <v>60</v>
      </c>
      <c r="I18" s="100">
        <v>60</v>
      </c>
      <c r="J18" s="100">
        <v>60</v>
      </c>
      <c r="K18" s="100">
        <v>60</v>
      </c>
      <c r="L18" s="100">
        <v>60</v>
      </c>
      <c r="M18" s="100">
        <v>60</v>
      </c>
      <c r="N18" s="100">
        <v>60</v>
      </c>
      <c r="O18" s="100">
        <v>60</v>
      </c>
      <c r="P18" s="46"/>
      <c r="Q18" s="46"/>
      <c r="R18" s="46"/>
      <c r="S18" s="46"/>
      <c r="T18" s="46"/>
    </row>
    <row r="19" spans="1:21" s="13" customFormat="1" ht="15.75" x14ac:dyDescent="0.25">
      <c r="A19" s="85" t="s">
        <v>26</v>
      </c>
      <c r="B19" s="85"/>
      <c r="C19" s="55" t="s">
        <v>28</v>
      </c>
      <c r="D19" s="100">
        <v>0</v>
      </c>
      <c r="E19" s="100">
        <v>0</v>
      </c>
      <c r="F19" s="100">
        <v>0</v>
      </c>
      <c r="G19" s="100">
        <v>0</v>
      </c>
      <c r="H19" s="100">
        <v>5</v>
      </c>
      <c r="I19" s="100">
        <v>15</v>
      </c>
      <c r="J19" s="100">
        <v>25</v>
      </c>
      <c r="K19" s="100">
        <v>50</v>
      </c>
      <c r="L19" s="100">
        <v>100</v>
      </c>
      <c r="M19" s="100">
        <v>150</v>
      </c>
      <c r="N19" s="100">
        <v>200</v>
      </c>
      <c r="O19" s="100">
        <v>250</v>
      </c>
      <c r="P19" s="46"/>
      <c r="Q19" s="46"/>
      <c r="R19" s="46"/>
      <c r="S19" s="46"/>
      <c r="T19" s="46"/>
    </row>
    <row r="20" spans="1:21" s="13" customFormat="1" ht="15.75" x14ac:dyDescent="0.25">
      <c r="A20" s="78" t="s">
        <v>12</v>
      </c>
      <c r="B20" s="78"/>
      <c r="C20" s="54" t="s">
        <v>59</v>
      </c>
      <c r="D20" s="100">
        <v>3.4090909090909088E-2</v>
      </c>
      <c r="E20" s="100">
        <v>0.36363636363636359</v>
      </c>
      <c r="F20" s="100">
        <v>0.72727272727272718</v>
      </c>
      <c r="G20" s="100">
        <v>1.8181818181818181</v>
      </c>
      <c r="H20" s="100">
        <v>3.6363636363636362</v>
      </c>
      <c r="I20" s="100">
        <v>5.4545454545454541</v>
      </c>
      <c r="J20" s="100">
        <v>7.2727272727272725</v>
      </c>
      <c r="K20" s="100">
        <v>10</v>
      </c>
      <c r="L20" s="100">
        <v>12.727272727272727</v>
      </c>
      <c r="M20" s="100">
        <v>16.363636363636363</v>
      </c>
      <c r="N20" s="100">
        <v>20.90909090909091</v>
      </c>
      <c r="O20" s="100">
        <v>27.27272727272727</v>
      </c>
      <c r="P20" s="46"/>
      <c r="Q20" s="46"/>
      <c r="R20" s="46"/>
      <c r="S20" s="46"/>
      <c r="T20" s="46"/>
    </row>
    <row r="21" spans="1:21" s="13" customFormat="1" ht="15.75" x14ac:dyDescent="0.25">
      <c r="A21" s="83" t="s">
        <v>7</v>
      </c>
      <c r="B21" s="83"/>
      <c r="C21" s="54" t="s">
        <v>29</v>
      </c>
      <c r="D21" s="99">
        <v>294.46721311475414</v>
      </c>
      <c r="E21" s="99">
        <v>439.53903587080021</v>
      </c>
      <c r="F21" s="99">
        <v>595.57002608230312</v>
      </c>
      <c r="G21" s="99">
        <v>758.96967305161718</v>
      </c>
      <c r="H21" s="99">
        <v>981.7753289863789</v>
      </c>
      <c r="I21" s="99">
        <v>1275.8998892824927</v>
      </c>
      <c r="J21" s="99">
        <v>1628.780768390011</v>
      </c>
      <c r="K21" s="99">
        <v>2064.0897646069775</v>
      </c>
      <c r="L21" s="99">
        <v>2563.0928641404494</v>
      </c>
      <c r="M21" s="99">
        <v>3126.9342768228876</v>
      </c>
      <c r="N21" s="99">
        <v>3756.6737281203973</v>
      </c>
      <c r="O21" s="99">
        <v>4373.7658648581955</v>
      </c>
      <c r="P21" s="46"/>
      <c r="Q21" s="46"/>
      <c r="R21" s="46"/>
      <c r="S21" s="46"/>
      <c r="T21" s="46"/>
    </row>
    <row r="22" spans="1:21" s="13" customFormat="1" ht="15.75" x14ac:dyDescent="0.25">
      <c r="A22" s="86" t="s">
        <v>33</v>
      </c>
      <c r="B22" s="86"/>
      <c r="C22" s="12"/>
      <c r="D22" s="62">
        <f t="shared" ref="D22:J22" si="3">SUM(D12:D18)</f>
        <v>1520</v>
      </c>
      <c r="E22" s="62">
        <f t="shared" si="3"/>
        <v>1520</v>
      </c>
      <c r="F22" s="62">
        <f t="shared" si="3"/>
        <v>1495</v>
      </c>
      <c r="G22" s="63">
        <f t="shared" si="3"/>
        <v>1480</v>
      </c>
      <c r="H22" s="63">
        <f t="shared" si="3"/>
        <v>1460</v>
      </c>
      <c r="I22" s="63">
        <f t="shared" si="3"/>
        <v>1460</v>
      </c>
      <c r="J22" s="63">
        <f t="shared" si="3"/>
        <v>1485</v>
      </c>
      <c r="K22" s="63">
        <f t="shared" ref="K22:O22" si="4">SUM(K12:K18)</f>
        <v>1535</v>
      </c>
      <c r="L22" s="63">
        <f t="shared" si="4"/>
        <v>1535</v>
      </c>
      <c r="M22" s="63">
        <f t="shared" si="4"/>
        <v>1510</v>
      </c>
      <c r="N22" s="63">
        <f t="shared" si="4"/>
        <v>1485</v>
      </c>
      <c r="O22" s="63">
        <f t="shared" si="4"/>
        <v>1455</v>
      </c>
      <c r="P22" s="46"/>
      <c r="Q22" s="46"/>
      <c r="R22" s="46"/>
      <c r="S22" s="46"/>
      <c r="T22" s="46"/>
    </row>
    <row r="23" spans="1:21" s="13" customFormat="1" ht="15.75" x14ac:dyDescent="0.25">
      <c r="A23" s="87" t="s">
        <v>48</v>
      </c>
      <c r="B23" s="87"/>
      <c r="C23" s="12"/>
      <c r="D23" s="64">
        <f t="shared" ref="D23:O23" si="5">D101/$C$101</f>
        <v>12951.460417051283</v>
      </c>
      <c r="E23" s="64">
        <f t="shared" si="5"/>
        <v>12796.095347008024</v>
      </c>
      <c r="F23" s="64">
        <f t="shared" si="5"/>
        <v>12658.022740966178</v>
      </c>
      <c r="G23" s="64">
        <f t="shared" si="5"/>
        <v>12513.03737062971</v>
      </c>
      <c r="H23" s="64">
        <f t="shared" si="5"/>
        <v>12361.025167577876</v>
      </c>
      <c r="I23" s="64">
        <f t="shared" si="5"/>
        <v>12184.432962191559</v>
      </c>
      <c r="J23" s="64">
        <f t="shared" si="5"/>
        <v>11986.124110264585</v>
      </c>
      <c r="K23" s="64">
        <f t="shared" si="5"/>
        <v>11681.763374802287</v>
      </c>
      <c r="L23" s="64">
        <f t="shared" si="5"/>
        <v>11382.944023278345</v>
      </c>
      <c r="M23" s="64">
        <f t="shared" si="5"/>
        <v>11096.548342446733</v>
      </c>
      <c r="N23" s="64">
        <f t="shared" si="5"/>
        <v>10805.377045233141</v>
      </c>
      <c r="O23" s="64">
        <f t="shared" si="5"/>
        <v>10519.929791127837</v>
      </c>
      <c r="P23" s="46"/>
      <c r="Q23" s="46"/>
      <c r="R23" s="46"/>
      <c r="S23" s="46"/>
      <c r="T23" s="46"/>
    </row>
    <row r="24" spans="1:21" ht="15.75" x14ac:dyDescent="0.25">
      <c r="A24" s="87" t="s">
        <v>54</v>
      </c>
      <c r="B24" s="87"/>
      <c r="C24" s="12"/>
      <c r="D24" s="62">
        <f>D22+D23+D19</f>
        <v>14471.460417051283</v>
      </c>
      <c r="E24" s="62">
        <f t="shared" ref="E24" si="6">E22+E23+E19</f>
        <v>14316.095347008024</v>
      </c>
      <c r="F24" s="96">
        <f>F22+F23+F19</f>
        <v>14153.022740966178</v>
      </c>
      <c r="G24" s="96">
        <f t="shared" ref="G24:J24" si="7">G22+G23+G19</f>
        <v>13993.03737062971</v>
      </c>
      <c r="H24" s="96">
        <f t="shared" si="7"/>
        <v>13826.025167577876</v>
      </c>
      <c r="I24" s="96">
        <f t="shared" si="7"/>
        <v>13659.432962191559</v>
      </c>
      <c r="J24" s="96">
        <f t="shared" si="7"/>
        <v>13496.124110264585</v>
      </c>
      <c r="K24" s="96">
        <f t="shared" ref="K24:O24" si="8">K22+K23+K19</f>
        <v>13266.763374802287</v>
      </c>
      <c r="L24" s="96">
        <f t="shared" si="8"/>
        <v>13017.944023278345</v>
      </c>
      <c r="M24" s="96">
        <f t="shared" si="8"/>
        <v>12756.548342446733</v>
      </c>
      <c r="N24" s="96">
        <f t="shared" si="8"/>
        <v>12490.377045233141</v>
      </c>
      <c r="O24" s="96">
        <f t="shared" si="8"/>
        <v>12224.929791127837</v>
      </c>
      <c r="U24"/>
    </row>
    <row r="25" spans="1:21" ht="16.5" thickBot="1" x14ac:dyDescent="0.3">
      <c r="A25" s="87" t="s">
        <v>32</v>
      </c>
      <c r="B25" s="87"/>
      <c r="C25" s="12"/>
      <c r="D25" s="65">
        <f t="shared" ref="D25:J25" si="9">D22/D24</f>
        <v>0.10503431970204127</v>
      </c>
      <c r="E25" s="65">
        <f t="shared" si="9"/>
        <v>0.1061742020541705</v>
      </c>
      <c r="F25" s="65">
        <f t="shared" si="9"/>
        <v>0.10563114518799548</v>
      </c>
      <c r="G25" s="65">
        <f t="shared" si="9"/>
        <v>0.10576688683090378</v>
      </c>
      <c r="H25" s="65">
        <f t="shared" si="9"/>
        <v>0.10559795619522738</v>
      </c>
      <c r="I25" s="65">
        <f t="shared" si="9"/>
        <v>0.10688584248271411</v>
      </c>
      <c r="J25" s="65">
        <f t="shared" si="9"/>
        <v>0.110031590393465</v>
      </c>
      <c r="K25" s="65">
        <f t="shared" ref="K25:O25" si="10">K22/K24</f>
        <v>0.11570267416659008</v>
      </c>
      <c r="L25" s="65">
        <f t="shared" si="10"/>
        <v>0.11791416503674876</v>
      </c>
      <c r="M25" s="65">
        <f t="shared" si="10"/>
        <v>0.1183705779545048</v>
      </c>
      <c r="N25" s="65">
        <f t="shared" si="10"/>
        <v>0.11889152702293636</v>
      </c>
      <c r="O25" s="65">
        <f t="shared" si="10"/>
        <v>0.11901908844138775</v>
      </c>
      <c r="U25"/>
    </row>
    <row r="26" spans="1:21" ht="15.75" x14ac:dyDescent="0.25">
      <c r="A26" s="75"/>
      <c r="B26" s="75"/>
      <c r="C26" s="12"/>
      <c r="D26" s="37"/>
      <c r="E26" s="37"/>
      <c r="F26" s="37"/>
      <c r="G26" s="37"/>
      <c r="H26" s="37"/>
      <c r="I26" s="37"/>
      <c r="J26" s="37"/>
      <c r="L26"/>
      <c r="M26"/>
      <c r="U26"/>
    </row>
    <row r="27" spans="1:21" x14ac:dyDescent="0.25">
      <c r="A27" s="83"/>
      <c r="B27" s="83"/>
      <c r="C27" s="41" t="s">
        <v>25</v>
      </c>
      <c r="D27" s="58">
        <v>2014</v>
      </c>
      <c r="E27" s="58">
        <v>2015</v>
      </c>
      <c r="F27" s="58">
        <v>2016</v>
      </c>
      <c r="G27" s="58">
        <v>2017</v>
      </c>
      <c r="H27" s="58">
        <v>2018</v>
      </c>
      <c r="I27" s="58">
        <v>2019</v>
      </c>
      <c r="J27" s="58">
        <v>2020</v>
      </c>
      <c r="K27" s="58">
        <v>2021</v>
      </c>
      <c r="L27" s="58">
        <v>2022</v>
      </c>
      <c r="M27" s="58">
        <v>2023</v>
      </c>
      <c r="N27" s="58">
        <v>2024</v>
      </c>
      <c r="O27" s="58">
        <v>2025</v>
      </c>
      <c r="U27"/>
    </row>
    <row r="28" spans="1:21" ht="15" customHeight="1" x14ac:dyDescent="0.25">
      <c r="A28" s="83" t="s">
        <v>76</v>
      </c>
      <c r="B28" s="83"/>
      <c r="C28" s="54" t="s">
        <v>28</v>
      </c>
      <c r="D28" s="110">
        <v>72</v>
      </c>
      <c r="E28" s="110">
        <v>97</v>
      </c>
      <c r="F28" s="110">
        <v>129</v>
      </c>
      <c r="G28" s="110">
        <v>160</v>
      </c>
      <c r="H28" s="110">
        <v>180</v>
      </c>
      <c r="I28" s="110">
        <v>180</v>
      </c>
      <c r="J28" s="110">
        <v>180</v>
      </c>
      <c r="K28" s="110">
        <v>185</v>
      </c>
      <c r="L28" s="110">
        <v>185</v>
      </c>
      <c r="M28" s="110">
        <v>185</v>
      </c>
      <c r="N28" s="110">
        <v>190</v>
      </c>
      <c r="O28" s="110">
        <v>190</v>
      </c>
      <c r="U28"/>
    </row>
    <row r="29" spans="1:21" x14ac:dyDescent="0.25">
      <c r="A29" s="83" t="s">
        <v>8</v>
      </c>
      <c r="B29" s="83"/>
      <c r="C29" s="55" t="s">
        <v>28</v>
      </c>
      <c r="D29" s="110">
        <v>120</v>
      </c>
      <c r="E29" s="110">
        <v>180</v>
      </c>
      <c r="F29" s="110">
        <v>250</v>
      </c>
      <c r="G29" s="110">
        <v>300</v>
      </c>
      <c r="H29" s="110">
        <v>320</v>
      </c>
      <c r="I29" s="110">
        <v>360</v>
      </c>
      <c r="J29" s="110">
        <v>400</v>
      </c>
      <c r="K29" s="110">
        <v>500</v>
      </c>
      <c r="L29" s="110">
        <v>550</v>
      </c>
      <c r="M29" s="110">
        <v>600</v>
      </c>
      <c r="N29" s="110">
        <v>600</v>
      </c>
      <c r="O29" s="110">
        <v>600</v>
      </c>
      <c r="U29"/>
    </row>
    <row r="30" spans="1:21" x14ac:dyDescent="0.25">
      <c r="A30" s="83" t="s">
        <v>69</v>
      </c>
      <c r="B30" s="83"/>
      <c r="C30" s="55" t="s">
        <v>35</v>
      </c>
      <c r="D30" s="100">
        <v>70</v>
      </c>
      <c r="E30" s="100">
        <v>80</v>
      </c>
      <c r="F30" s="100">
        <v>80</v>
      </c>
      <c r="G30" s="100">
        <v>80</v>
      </c>
      <c r="H30" s="100">
        <v>80</v>
      </c>
      <c r="I30" s="100">
        <v>80</v>
      </c>
      <c r="J30" s="100">
        <v>60</v>
      </c>
      <c r="K30" s="100">
        <v>40</v>
      </c>
      <c r="L30" s="100">
        <v>40</v>
      </c>
      <c r="M30" s="100">
        <v>40</v>
      </c>
      <c r="N30" s="100">
        <v>40</v>
      </c>
      <c r="O30" s="100">
        <v>40</v>
      </c>
      <c r="P30"/>
      <c r="Q30"/>
      <c r="R30"/>
      <c r="U30"/>
    </row>
    <row r="31" spans="1:21" x14ac:dyDescent="0.25">
      <c r="A31" s="85" t="s">
        <v>70</v>
      </c>
      <c r="B31" s="85"/>
      <c r="C31" s="56" t="s">
        <v>35</v>
      </c>
      <c r="D31" s="100">
        <v>50</v>
      </c>
      <c r="E31" s="100">
        <v>60</v>
      </c>
      <c r="F31" s="100">
        <v>80</v>
      </c>
      <c r="G31" s="100">
        <v>100</v>
      </c>
      <c r="H31" s="100">
        <v>140</v>
      </c>
      <c r="I31" s="100">
        <v>180</v>
      </c>
      <c r="J31" s="100">
        <v>240</v>
      </c>
      <c r="K31" s="100">
        <v>300</v>
      </c>
      <c r="L31" s="100">
        <v>340</v>
      </c>
      <c r="M31" s="100">
        <v>380</v>
      </c>
      <c r="N31" s="100">
        <v>420</v>
      </c>
      <c r="O31" s="100">
        <v>460</v>
      </c>
      <c r="P31"/>
      <c r="Q31"/>
      <c r="R31"/>
      <c r="U31"/>
    </row>
    <row r="32" spans="1:21" x14ac:dyDescent="0.25">
      <c r="A32" s="83" t="s">
        <v>9</v>
      </c>
      <c r="B32" s="83"/>
      <c r="C32" s="54" t="s">
        <v>29</v>
      </c>
      <c r="D32" s="99">
        <v>0</v>
      </c>
      <c r="E32" s="99">
        <v>0</v>
      </c>
      <c r="F32" s="99">
        <v>900</v>
      </c>
      <c r="G32" s="99">
        <v>900</v>
      </c>
      <c r="H32" s="99">
        <v>900</v>
      </c>
      <c r="I32" s="99">
        <v>900</v>
      </c>
      <c r="J32" s="99">
        <v>900</v>
      </c>
      <c r="K32" s="99">
        <v>900</v>
      </c>
      <c r="L32" s="99">
        <v>900</v>
      </c>
      <c r="M32" s="99">
        <v>900</v>
      </c>
      <c r="N32" s="99">
        <v>900</v>
      </c>
      <c r="O32" s="99">
        <v>900</v>
      </c>
      <c r="U32"/>
    </row>
    <row r="33" spans="1:21" x14ac:dyDescent="0.25">
      <c r="A33" s="75" t="s">
        <v>61</v>
      </c>
      <c r="B33" s="75"/>
      <c r="C33" s="12"/>
      <c r="D33" s="59">
        <f t="shared" ref="D33:O33" si="11">D30+D31</f>
        <v>120</v>
      </c>
      <c r="E33" s="59">
        <f t="shared" si="11"/>
        <v>140</v>
      </c>
      <c r="F33" s="59">
        <f t="shared" si="11"/>
        <v>160</v>
      </c>
      <c r="G33" s="59">
        <f t="shared" si="11"/>
        <v>180</v>
      </c>
      <c r="H33" s="59">
        <f t="shared" si="11"/>
        <v>220</v>
      </c>
      <c r="I33" s="59">
        <f t="shared" si="11"/>
        <v>260</v>
      </c>
      <c r="J33" s="59">
        <f t="shared" si="11"/>
        <v>300</v>
      </c>
      <c r="K33" s="59">
        <f t="shared" si="11"/>
        <v>340</v>
      </c>
      <c r="L33" s="59">
        <f t="shared" si="11"/>
        <v>380</v>
      </c>
      <c r="M33" s="59">
        <f t="shared" si="11"/>
        <v>420</v>
      </c>
      <c r="N33" s="59">
        <f t="shared" si="11"/>
        <v>460</v>
      </c>
      <c r="O33" s="59">
        <f t="shared" si="11"/>
        <v>500</v>
      </c>
      <c r="U33"/>
    </row>
    <row r="34" spans="1:21" x14ac:dyDescent="0.25">
      <c r="A34" s="87" t="s">
        <v>56</v>
      </c>
      <c r="B34" s="87"/>
      <c r="C34" s="12"/>
      <c r="D34" s="59">
        <f t="shared" ref="D34:O34" si="12">D28</f>
        <v>72</v>
      </c>
      <c r="E34" s="59">
        <f t="shared" si="12"/>
        <v>97</v>
      </c>
      <c r="F34" s="59">
        <f t="shared" si="12"/>
        <v>129</v>
      </c>
      <c r="G34" s="59">
        <f t="shared" si="12"/>
        <v>160</v>
      </c>
      <c r="H34" s="59">
        <f t="shared" si="12"/>
        <v>180</v>
      </c>
      <c r="I34" s="59">
        <f t="shared" si="12"/>
        <v>180</v>
      </c>
      <c r="J34" s="59">
        <f t="shared" si="12"/>
        <v>180</v>
      </c>
      <c r="K34" s="59">
        <f t="shared" si="12"/>
        <v>185</v>
      </c>
      <c r="L34" s="59">
        <f t="shared" si="12"/>
        <v>185</v>
      </c>
      <c r="M34" s="59">
        <f t="shared" si="12"/>
        <v>185</v>
      </c>
      <c r="N34" s="59">
        <f t="shared" si="12"/>
        <v>190</v>
      </c>
      <c r="O34" s="59">
        <f t="shared" si="12"/>
        <v>190</v>
      </c>
      <c r="U34"/>
    </row>
    <row r="35" spans="1:21" x14ac:dyDescent="0.25">
      <c r="A35" s="87" t="s">
        <v>50</v>
      </c>
      <c r="B35" s="87"/>
      <c r="C35" s="40"/>
      <c r="D35" s="60">
        <f t="shared" ref="D35:O35" si="13">D7</f>
        <v>3732.1549999999997</v>
      </c>
      <c r="E35" s="60">
        <f t="shared" si="13"/>
        <v>3788.1373249999992</v>
      </c>
      <c r="F35" s="60">
        <f t="shared" si="13"/>
        <v>3844.9593848749987</v>
      </c>
      <c r="G35" s="60">
        <f t="shared" si="13"/>
        <v>3902.6337756481234</v>
      </c>
      <c r="H35" s="60">
        <f t="shared" si="13"/>
        <v>3961.1732822828449</v>
      </c>
      <c r="I35" s="60">
        <f t="shared" si="13"/>
        <v>4020.5908815170869</v>
      </c>
      <c r="J35" s="60">
        <f t="shared" si="13"/>
        <v>4080.8997447398428</v>
      </c>
      <c r="K35" s="60">
        <f t="shared" si="13"/>
        <v>4142.1132409109405</v>
      </c>
      <c r="L35" s="60">
        <f t="shared" si="13"/>
        <v>4204.244939524604</v>
      </c>
      <c r="M35" s="60">
        <f t="shared" si="13"/>
        <v>4267.3086136174725</v>
      </c>
      <c r="N35" s="60">
        <f t="shared" si="13"/>
        <v>4331.3182428217342</v>
      </c>
      <c r="O35" s="60">
        <f t="shared" si="13"/>
        <v>4396.2880164640601</v>
      </c>
      <c r="U35"/>
    </row>
    <row r="36" spans="1:21" x14ac:dyDescent="0.25">
      <c r="A36" s="87" t="s">
        <v>49</v>
      </c>
      <c r="B36" s="87"/>
      <c r="C36" s="12"/>
      <c r="D36" s="15">
        <f t="shared" ref="D36:O36" si="14">D111/$C$110</f>
        <v>3428.9208220436321</v>
      </c>
      <c r="E36" s="15">
        <f t="shared" si="14"/>
        <v>3383.6039830681048</v>
      </c>
      <c r="F36" s="15">
        <f t="shared" si="14"/>
        <v>3298.8247717170284</v>
      </c>
      <c r="G36" s="15">
        <f t="shared" si="14"/>
        <v>3259.2135951596074</v>
      </c>
      <c r="H36" s="15">
        <f t="shared" si="14"/>
        <v>3239.7101266784562</v>
      </c>
      <c r="I36" s="15">
        <f t="shared" si="14"/>
        <v>3220.5615029633414</v>
      </c>
      <c r="J36" s="15">
        <f t="shared" si="14"/>
        <v>3202.3041432367413</v>
      </c>
      <c r="K36" s="15">
        <f t="shared" si="14"/>
        <v>3122.4121161241483</v>
      </c>
      <c r="L36" s="15">
        <f t="shared" si="14"/>
        <v>3096.3360360511165</v>
      </c>
      <c r="M36" s="15">
        <f t="shared" si="14"/>
        <v>3071.1919314572888</v>
      </c>
      <c r="N36" s="15">
        <f t="shared" si="14"/>
        <v>3090.5115947512527</v>
      </c>
      <c r="O36" s="15">
        <f t="shared" si="14"/>
        <v>3115.4813683935772</v>
      </c>
      <c r="U36"/>
    </row>
    <row r="37" spans="1:21" x14ac:dyDescent="0.25">
      <c r="A37" s="87" t="s">
        <v>55</v>
      </c>
      <c r="B37" s="87"/>
      <c r="C37" s="12"/>
      <c r="D37" s="57">
        <f t="shared" ref="D37:O37" si="15">SUM(D28:D28)/(D36+D29+D34)</f>
        <v>1.9884444741700678E-2</v>
      </c>
      <c r="E37" s="57">
        <f t="shared" si="15"/>
        <v>2.6498359409722397E-2</v>
      </c>
      <c r="F37" s="57">
        <f t="shared" si="15"/>
        <v>3.5075080518252935E-2</v>
      </c>
      <c r="G37" s="57">
        <f t="shared" si="15"/>
        <v>4.3019847047298644E-2</v>
      </c>
      <c r="H37" s="57">
        <f t="shared" si="15"/>
        <v>4.8132072781767392E-2</v>
      </c>
      <c r="I37" s="57">
        <f t="shared" si="15"/>
        <v>4.7865192434204069E-2</v>
      </c>
      <c r="J37" s="57">
        <f t="shared" si="15"/>
        <v>4.7590038554108281E-2</v>
      </c>
      <c r="K37" s="57">
        <f t="shared" si="15"/>
        <v>4.8589434071645871E-2</v>
      </c>
      <c r="L37" s="57">
        <f t="shared" si="15"/>
        <v>4.8286028231205716E-2</v>
      </c>
      <c r="M37" s="57">
        <f t="shared" si="15"/>
        <v>4.7974790489768715E-2</v>
      </c>
      <c r="N37" s="57">
        <f t="shared" si="15"/>
        <v>4.8962616232610258E-2</v>
      </c>
      <c r="O37" s="57">
        <f t="shared" si="15"/>
        <v>4.8649572761411429E-2</v>
      </c>
      <c r="U37"/>
    </row>
    <row r="38" spans="1:21" ht="15.75" thickBot="1" x14ac:dyDescent="0.3">
      <c r="A38" s="75" t="s">
        <v>60</v>
      </c>
      <c r="B38" s="75"/>
      <c r="C38" s="12"/>
      <c r="D38" s="61">
        <f t="shared" ref="D38:O38" si="16">D29/(D29+D34+D36)</f>
        <v>3.3140741236167795E-2</v>
      </c>
      <c r="E38" s="61">
        <f t="shared" si="16"/>
        <v>4.9172213337629188E-2</v>
      </c>
      <c r="F38" s="61">
        <f t="shared" si="16"/>
        <v>6.7974962244676237E-2</v>
      </c>
      <c r="G38" s="61">
        <f t="shared" si="16"/>
        <v>8.0662213213684955E-2</v>
      </c>
      <c r="H38" s="61">
        <f t="shared" si="16"/>
        <v>8.5568129389808692E-2</v>
      </c>
      <c r="I38" s="61">
        <f t="shared" si="16"/>
        <v>9.5730384868408139E-2</v>
      </c>
      <c r="J38" s="61">
        <f t="shared" si="16"/>
        <v>0.10575564123135173</v>
      </c>
      <c r="K38" s="61">
        <f t="shared" si="16"/>
        <v>0.13132279478823208</v>
      </c>
      <c r="L38" s="61">
        <f t="shared" si="16"/>
        <v>0.14355305690358455</v>
      </c>
      <c r="M38" s="61">
        <f t="shared" si="16"/>
        <v>0.15559391510195258</v>
      </c>
      <c r="N38" s="61">
        <f t="shared" si="16"/>
        <v>0.15461878810297977</v>
      </c>
      <c r="O38" s="61">
        <f t="shared" si="16"/>
        <v>0.15363022977287819</v>
      </c>
      <c r="U38"/>
    </row>
    <row r="39" spans="1:21" x14ac:dyDescent="0.25">
      <c r="A39" s="79"/>
      <c r="B39" s="79"/>
      <c r="C39" s="80"/>
      <c r="D39" s="81"/>
      <c r="E39" s="81"/>
      <c r="F39" s="81"/>
      <c r="G39" s="81"/>
      <c r="H39" s="81"/>
      <c r="I39" s="81"/>
      <c r="J39" s="81"/>
      <c r="K39" s="45"/>
      <c r="U39"/>
    </row>
    <row r="40" spans="1:21" x14ac:dyDescent="0.25">
      <c r="C40" s="152" t="s">
        <v>40</v>
      </c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</row>
    <row r="41" spans="1:21" x14ac:dyDescent="0.25">
      <c r="A41" s="34"/>
      <c r="B41" s="36"/>
      <c r="C41" s="10">
        <v>2014</v>
      </c>
      <c r="D41" s="10">
        <v>2015</v>
      </c>
      <c r="E41" s="10">
        <v>2016</v>
      </c>
      <c r="F41" s="10">
        <v>2017</v>
      </c>
      <c r="G41" s="10">
        <v>2018</v>
      </c>
      <c r="H41" s="10">
        <v>2019</v>
      </c>
      <c r="I41" s="10">
        <v>2020</v>
      </c>
      <c r="J41" s="104">
        <v>2021</v>
      </c>
      <c r="K41" s="104">
        <v>2022</v>
      </c>
      <c r="L41" s="104">
        <v>2023</v>
      </c>
      <c r="M41" s="104">
        <v>2024</v>
      </c>
      <c r="N41" s="104">
        <v>2025</v>
      </c>
      <c r="O41"/>
      <c r="U41"/>
    </row>
    <row r="42" spans="1:21" x14ac:dyDescent="0.25">
      <c r="A42" s="34"/>
      <c r="B42" s="36" t="s">
        <v>4</v>
      </c>
      <c r="C42" s="52">
        <v>82.24</v>
      </c>
      <c r="D42" s="52">
        <v>82.24</v>
      </c>
      <c r="E42" s="52">
        <v>70</v>
      </c>
      <c r="F42" s="52">
        <v>69.3</v>
      </c>
      <c r="G42" s="52">
        <v>68.606999999999999</v>
      </c>
      <c r="H42" s="52">
        <v>67.920929999999998</v>
      </c>
      <c r="I42" s="52">
        <v>67.241720700000002</v>
      </c>
      <c r="J42" s="52">
        <v>66.569303493000007</v>
      </c>
      <c r="K42" s="52">
        <v>65.903610458070006</v>
      </c>
      <c r="L42" s="52">
        <v>65.244574353489298</v>
      </c>
      <c r="M42" s="52">
        <v>64.592128609954401</v>
      </c>
      <c r="N42" s="52">
        <v>63.946207323854857</v>
      </c>
      <c r="O42"/>
      <c r="U42"/>
    </row>
    <row r="43" spans="1:21" x14ac:dyDescent="0.25">
      <c r="A43" s="34"/>
      <c r="B43" s="36" t="s">
        <v>5</v>
      </c>
      <c r="C43" s="52">
        <v>72.510000000000005</v>
      </c>
      <c r="D43" s="52">
        <v>72.510000000000005</v>
      </c>
      <c r="E43" s="52">
        <v>40</v>
      </c>
      <c r="F43" s="52">
        <v>39.5</v>
      </c>
      <c r="G43" s="52">
        <v>39</v>
      </c>
      <c r="H43" s="52">
        <v>38.5</v>
      </c>
      <c r="I43" s="52">
        <v>38</v>
      </c>
      <c r="J43" s="52">
        <v>37.5</v>
      </c>
      <c r="K43" s="52">
        <v>37</v>
      </c>
      <c r="L43" s="52">
        <v>36.5</v>
      </c>
      <c r="M43" s="52">
        <v>36</v>
      </c>
      <c r="N43" s="52">
        <v>35.5</v>
      </c>
      <c r="O43"/>
      <c r="U43"/>
    </row>
    <row r="44" spans="1:21" x14ac:dyDescent="0.25">
      <c r="A44" s="34"/>
      <c r="B44" s="38" t="s">
        <v>41</v>
      </c>
      <c r="C44" s="52">
        <v>79.099999999999994</v>
      </c>
      <c r="D44" s="52">
        <v>79.099999999999994</v>
      </c>
      <c r="E44" s="52">
        <v>70</v>
      </c>
      <c r="F44" s="52">
        <v>69.3</v>
      </c>
      <c r="G44" s="52">
        <v>68.606999999999999</v>
      </c>
      <c r="H44" s="52">
        <v>67.920929999999998</v>
      </c>
      <c r="I44" s="52">
        <v>67.241720700000002</v>
      </c>
      <c r="J44" s="52">
        <v>66.569303493000007</v>
      </c>
      <c r="K44" s="52">
        <v>65.903610458070006</v>
      </c>
      <c r="L44" s="52">
        <v>65.244574353489298</v>
      </c>
      <c r="M44" s="52">
        <v>64.592128609954401</v>
      </c>
      <c r="N44" s="52">
        <v>63.946207323854857</v>
      </c>
      <c r="O44"/>
      <c r="U44"/>
    </row>
    <row r="45" spans="1:21" x14ac:dyDescent="0.25">
      <c r="A45" s="34"/>
      <c r="B45" s="32" t="s">
        <v>64</v>
      </c>
      <c r="C45" s="52">
        <v>91.52</v>
      </c>
      <c r="D45" s="52">
        <v>91.52</v>
      </c>
      <c r="E45" s="52">
        <v>70</v>
      </c>
      <c r="F45" s="52">
        <v>69.3</v>
      </c>
      <c r="G45" s="52">
        <v>68.606999999999999</v>
      </c>
      <c r="H45" s="52">
        <v>67.920929999999998</v>
      </c>
      <c r="I45" s="52">
        <v>67.241720700000002</v>
      </c>
      <c r="J45" s="52">
        <v>66.569303493000007</v>
      </c>
      <c r="K45" s="52">
        <v>65.903610458070006</v>
      </c>
      <c r="L45" s="52">
        <v>65.244574353489298</v>
      </c>
      <c r="M45" s="52">
        <v>64.592128609954401</v>
      </c>
      <c r="N45" s="52">
        <v>63.946207323854857</v>
      </c>
      <c r="O45"/>
      <c r="U45"/>
    </row>
    <row r="46" spans="1:21" x14ac:dyDescent="0.25">
      <c r="A46" s="34"/>
      <c r="B46" s="88" t="s">
        <v>67</v>
      </c>
      <c r="C46" s="52">
        <v>72.8</v>
      </c>
      <c r="D46" s="52">
        <v>72.8</v>
      </c>
      <c r="E46" s="52">
        <v>65</v>
      </c>
      <c r="F46" s="52">
        <v>64.349999999999994</v>
      </c>
      <c r="G46" s="52">
        <v>63.706499999999991</v>
      </c>
      <c r="H46" s="52">
        <v>63.069434999999991</v>
      </c>
      <c r="I46" s="52">
        <v>62.438740649999993</v>
      </c>
      <c r="J46" s="52">
        <v>61.814353243499994</v>
      </c>
      <c r="K46" s="52">
        <v>61.196209711064995</v>
      </c>
      <c r="L46" s="52">
        <v>60.584247613954346</v>
      </c>
      <c r="M46" s="52">
        <v>59.978405137814804</v>
      </c>
      <c r="N46" s="52">
        <v>59.378621086436652</v>
      </c>
      <c r="O46"/>
      <c r="U46"/>
    </row>
    <row r="47" spans="1:21" ht="17.25" x14ac:dyDescent="0.25">
      <c r="A47" s="34"/>
      <c r="B47" s="32" t="s">
        <v>13</v>
      </c>
      <c r="C47" s="52">
        <v>20</v>
      </c>
      <c r="D47" s="52">
        <v>20</v>
      </c>
      <c r="E47" s="52">
        <v>20</v>
      </c>
      <c r="F47" s="52">
        <v>20</v>
      </c>
      <c r="G47" s="52">
        <v>20</v>
      </c>
      <c r="H47" s="52">
        <v>20</v>
      </c>
      <c r="I47" s="52">
        <v>20</v>
      </c>
      <c r="J47" s="52">
        <v>20</v>
      </c>
      <c r="K47" s="52">
        <v>20</v>
      </c>
      <c r="L47" s="52">
        <v>20</v>
      </c>
      <c r="M47" s="52">
        <v>20</v>
      </c>
      <c r="N47" s="52">
        <v>20</v>
      </c>
      <c r="O47"/>
      <c r="U47"/>
    </row>
    <row r="48" spans="1:21" x14ac:dyDescent="0.25">
      <c r="A48" s="34"/>
      <c r="B48" s="36" t="s">
        <v>6</v>
      </c>
      <c r="C48" s="52">
        <v>22.09</v>
      </c>
      <c r="D48" s="52">
        <v>22.09</v>
      </c>
      <c r="E48" s="52">
        <v>23</v>
      </c>
      <c r="F48" s="52">
        <v>23</v>
      </c>
      <c r="G48" s="52">
        <v>23</v>
      </c>
      <c r="H48" s="52">
        <v>23</v>
      </c>
      <c r="I48" s="52">
        <v>23</v>
      </c>
      <c r="J48" s="52">
        <v>23</v>
      </c>
      <c r="K48" s="52">
        <v>23</v>
      </c>
      <c r="L48" s="52">
        <v>23</v>
      </c>
      <c r="M48" s="52">
        <v>23</v>
      </c>
      <c r="N48" s="52">
        <v>23</v>
      </c>
      <c r="O48"/>
      <c r="U48"/>
    </row>
    <row r="49" spans="1:21" ht="17.25" x14ac:dyDescent="0.25">
      <c r="A49" s="34"/>
      <c r="B49" s="32" t="s">
        <v>47</v>
      </c>
      <c r="C49" s="52">
        <v>35</v>
      </c>
      <c r="D49" s="52">
        <v>35</v>
      </c>
      <c r="E49" s="52">
        <v>35</v>
      </c>
      <c r="F49" s="52">
        <v>35</v>
      </c>
      <c r="G49" s="52">
        <v>35</v>
      </c>
      <c r="H49" s="52">
        <v>35</v>
      </c>
      <c r="I49" s="52">
        <v>35</v>
      </c>
      <c r="J49" s="52">
        <v>35</v>
      </c>
      <c r="K49" s="52">
        <v>35</v>
      </c>
      <c r="L49" s="52">
        <v>35</v>
      </c>
      <c r="M49" s="52">
        <v>35</v>
      </c>
      <c r="N49" s="52">
        <v>35</v>
      </c>
      <c r="O49"/>
      <c r="U49"/>
    </row>
    <row r="50" spans="1:21" x14ac:dyDescent="0.25">
      <c r="A50" s="34"/>
      <c r="B50" s="32" t="s">
        <v>12</v>
      </c>
      <c r="C50" s="52">
        <v>43.872</v>
      </c>
      <c r="D50" s="52">
        <v>43.872</v>
      </c>
      <c r="E50" s="52">
        <v>43.872</v>
      </c>
      <c r="F50" s="52">
        <v>43.872</v>
      </c>
      <c r="G50" s="52">
        <v>43.872</v>
      </c>
      <c r="H50" s="52">
        <v>43.872</v>
      </c>
      <c r="I50" s="52">
        <v>43.872</v>
      </c>
      <c r="J50" s="52">
        <v>43.872</v>
      </c>
      <c r="K50" s="52">
        <v>43.872</v>
      </c>
      <c r="L50" s="52">
        <v>43.872</v>
      </c>
      <c r="M50" s="52">
        <v>43.872</v>
      </c>
      <c r="N50" s="52">
        <v>43.872</v>
      </c>
      <c r="O50"/>
      <c r="U50"/>
    </row>
    <row r="51" spans="1:21" x14ac:dyDescent="0.25">
      <c r="A51" s="34"/>
      <c r="B51" s="36" t="s">
        <v>7</v>
      </c>
      <c r="C51" s="52">
        <v>30.797058823529412</v>
      </c>
      <c r="D51" s="52">
        <v>30.797058823529412</v>
      </c>
      <c r="E51" s="52">
        <v>30.797058823529412</v>
      </c>
      <c r="F51" s="52">
        <v>30.797058823529412</v>
      </c>
      <c r="G51" s="52">
        <v>30.797058823529412</v>
      </c>
      <c r="H51" s="52">
        <v>30.797058823529412</v>
      </c>
      <c r="I51" s="52">
        <v>30.797058823529412</v>
      </c>
      <c r="J51" s="52">
        <v>30.797058823529412</v>
      </c>
      <c r="K51" s="52">
        <v>30.797058823529412</v>
      </c>
      <c r="L51" s="52">
        <v>30.797058823529412</v>
      </c>
      <c r="M51" s="52">
        <v>30.797058823529412</v>
      </c>
      <c r="N51" s="52">
        <v>30.797058823529412</v>
      </c>
      <c r="O51"/>
      <c r="U51"/>
    </row>
    <row r="52" spans="1:21" x14ac:dyDescent="0.25">
      <c r="A52" s="34"/>
      <c r="B52" s="36" t="s">
        <v>77</v>
      </c>
      <c r="C52" s="111">
        <v>15.5</v>
      </c>
      <c r="D52" s="111">
        <v>14</v>
      </c>
      <c r="E52" s="111">
        <v>12</v>
      </c>
      <c r="F52" s="111">
        <v>9</v>
      </c>
      <c r="G52" s="111">
        <v>9</v>
      </c>
      <c r="H52" s="111">
        <v>9</v>
      </c>
      <c r="I52" s="111">
        <v>9</v>
      </c>
      <c r="J52" s="111">
        <v>9</v>
      </c>
      <c r="K52" s="111">
        <v>9</v>
      </c>
      <c r="L52" s="111">
        <v>9</v>
      </c>
      <c r="M52" s="111">
        <v>9</v>
      </c>
      <c r="N52" s="111">
        <v>9</v>
      </c>
      <c r="O52"/>
      <c r="U52"/>
    </row>
    <row r="53" spans="1:21" x14ac:dyDescent="0.25">
      <c r="A53" s="34"/>
      <c r="B53" s="36" t="s">
        <v>8</v>
      </c>
      <c r="C53" s="52">
        <v>35</v>
      </c>
      <c r="D53" s="52">
        <v>35</v>
      </c>
      <c r="E53" s="52">
        <v>35</v>
      </c>
      <c r="F53" s="52">
        <v>35</v>
      </c>
      <c r="G53" s="52">
        <v>35</v>
      </c>
      <c r="H53" s="52">
        <v>35</v>
      </c>
      <c r="I53" s="52">
        <v>35</v>
      </c>
      <c r="J53" s="52">
        <v>35</v>
      </c>
      <c r="K53" s="52">
        <v>35</v>
      </c>
      <c r="L53" s="52">
        <v>35</v>
      </c>
      <c r="M53" s="52">
        <v>35</v>
      </c>
      <c r="N53" s="52">
        <v>35</v>
      </c>
      <c r="O53"/>
      <c r="U53"/>
    </row>
    <row r="54" spans="1:21" x14ac:dyDescent="0.25">
      <c r="A54" s="34"/>
      <c r="B54" s="36" t="s">
        <v>71</v>
      </c>
      <c r="C54" s="52">
        <v>70</v>
      </c>
      <c r="D54" s="52">
        <v>70</v>
      </c>
      <c r="E54" s="52">
        <v>70</v>
      </c>
      <c r="F54" s="52">
        <v>70</v>
      </c>
      <c r="G54" s="52">
        <v>70</v>
      </c>
      <c r="H54" s="52">
        <v>70</v>
      </c>
      <c r="I54" s="52">
        <v>70</v>
      </c>
      <c r="J54" s="52">
        <v>70</v>
      </c>
      <c r="K54" s="52">
        <v>70</v>
      </c>
      <c r="L54" s="52">
        <v>70</v>
      </c>
      <c r="M54" s="52">
        <v>70</v>
      </c>
      <c r="N54" s="52">
        <v>70</v>
      </c>
      <c r="O54"/>
      <c r="U54"/>
    </row>
    <row r="55" spans="1:21" x14ac:dyDescent="0.25">
      <c r="A55" s="34"/>
      <c r="B55" s="32" t="s">
        <v>72</v>
      </c>
      <c r="C55" s="52">
        <v>25</v>
      </c>
      <c r="D55" s="52">
        <v>25</v>
      </c>
      <c r="E55" s="52">
        <v>25</v>
      </c>
      <c r="F55" s="52">
        <v>25</v>
      </c>
      <c r="G55" s="52">
        <v>25</v>
      </c>
      <c r="H55" s="52">
        <v>25</v>
      </c>
      <c r="I55" s="52">
        <v>25</v>
      </c>
      <c r="J55" s="52">
        <v>25</v>
      </c>
      <c r="K55" s="52">
        <v>25</v>
      </c>
      <c r="L55" s="52">
        <v>25</v>
      </c>
      <c r="M55" s="52">
        <v>25</v>
      </c>
      <c r="N55" s="52">
        <v>25</v>
      </c>
      <c r="O55"/>
      <c r="R55"/>
      <c r="U55"/>
    </row>
    <row r="56" spans="1:21" x14ac:dyDescent="0.25">
      <c r="A56" s="34"/>
      <c r="B56" s="36" t="s">
        <v>9</v>
      </c>
      <c r="C56" s="52">
        <v>34.903333333333329</v>
      </c>
      <c r="D56" s="52">
        <v>34.903333333333329</v>
      </c>
      <c r="E56" s="52">
        <v>34.903333333333329</v>
      </c>
      <c r="F56" s="52">
        <v>34.903333333333329</v>
      </c>
      <c r="G56" s="52">
        <v>34.903333333333329</v>
      </c>
      <c r="H56" s="52">
        <v>34.903333333333329</v>
      </c>
      <c r="I56" s="52">
        <v>34.903333333333329</v>
      </c>
      <c r="J56" s="52">
        <v>34.903333333333329</v>
      </c>
      <c r="K56" s="52">
        <v>34.903333333333329</v>
      </c>
      <c r="L56" s="52">
        <v>34.903333333333329</v>
      </c>
      <c r="M56" s="52">
        <v>34.903333333333329</v>
      </c>
      <c r="N56" s="52">
        <v>34.903333333333329</v>
      </c>
      <c r="O56"/>
      <c r="Q56"/>
      <c r="R56"/>
      <c r="U56"/>
    </row>
    <row r="57" spans="1:21" x14ac:dyDescent="0.25">
      <c r="A57" s="34"/>
      <c r="B57" s="32" t="s">
        <v>10</v>
      </c>
      <c r="C57" s="52">
        <v>99.18</v>
      </c>
      <c r="D57" s="52">
        <v>99.18</v>
      </c>
      <c r="E57" s="114">
        <v>100.58</v>
      </c>
      <c r="F57" s="114">
        <v>100.58</v>
      </c>
      <c r="G57" s="114">
        <v>100.58</v>
      </c>
      <c r="H57" s="114">
        <v>100.58</v>
      </c>
      <c r="I57" s="114">
        <v>100.58</v>
      </c>
      <c r="J57" s="114">
        <v>100.58</v>
      </c>
      <c r="K57" s="114">
        <v>100.58</v>
      </c>
      <c r="L57" s="114">
        <v>100.58</v>
      </c>
      <c r="M57" s="114">
        <v>100.58</v>
      </c>
      <c r="N57" s="114">
        <v>100.58</v>
      </c>
      <c r="O57"/>
      <c r="Q57"/>
      <c r="R57"/>
      <c r="U57"/>
    </row>
    <row r="58" spans="1:21" x14ac:dyDescent="0.25">
      <c r="A58" s="34"/>
      <c r="B58" s="36" t="s">
        <v>11</v>
      </c>
      <c r="C58" s="52">
        <v>98.03</v>
      </c>
      <c r="D58" s="52">
        <v>98.03</v>
      </c>
      <c r="E58" s="114">
        <v>102.82</v>
      </c>
      <c r="F58" s="114">
        <v>102.82</v>
      </c>
      <c r="G58" s="114">
        <v>102.82</v>
      </c>
      <c r="H58" s="114">
        <v>102.82</v>
      </c>
      <c r="I58" s="114">
        <v>102.82</v>
      </c>
      <c r="J58" s="114">
        <v>102.82</v>
      </c>
      <c r="K58" s="114">
        <v>102.82</v>
      </c>
      <c r="L58" s="114">
        <v>102.82</v>
      </c>
      <c r="M58" s="114">
        <v>102.82</v>
      </c>
      <c r="N58" s="114">
        <v>102.82</v>
      </c>
      <c r="O58"/>
      <c r="Q58"/>
      <c r="R58"/>
      <c r="U58"/>
    </row>
    <row r="59" spans="1:21" x14ac:dyDescent="0.25">
      <c r="A59" s="34"/>
      <c r="B59" s="39"/>
      <c r="Q59"/>
      <c r="R59"/>
      <c r="T59"/>
      <c r="U59"/>
    </row>
    <row r="60" spans="1:21" x14ac:dyDescent="0.25">
      <c r="A60" t="s">
        <v>75</v>
      </c>
      <c r="B60" s="33"/>
      <c r="C60" s="152" t="s">
        <v>37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Q60"/>
      <c r="R60"/>
      <c r="T60"/>
      <c r="U60"/>
    </row>
    <row r="61" spans="1:21" ht="15" customHeight="1" x14ac:dyDescent="0.25">
      <c r="A61" s="34"/>
      <c r="B61" s="36" t="s">
        <v>30</v>
      </c>
      <c r="C61" s="10">
        <v>2014</v>
      </c>
      <c r="D61" s="10">
        <v>2015</v>
      </c>
      <c r="E61" s="10">
        <v>2016</v>
      </c>
      <c r="F61" s="10">
        <v>2017</v>
      </c>
      <c r="G61" s="10">
        <v>2018</v>
      </c>
      <c r="H61" s="10">
        <v>2019</v>
      </c>
      <c r="I61" s="10">
        <v>2020</v>
      </c>
      <c r="J61" s="104">
        <v>2021</v>
      </c>
      <c r="K61" s="104">
        <v>2022</v>
      </c>
      <c r="L61" s="104">
        <v>2023</v>
      </c>
      <c r="M61" s="104">
        <v>2024</v>
      </c>
      <c r="N61" s="104">
        <v>2025</v>
      </c>
      <c r="O61"/>
      <c r="Q61"/>
      <c r="R61"/>
      <c r="T61"/>
      <c r="U61"/>
    </row>
    <row r="62" spans="1:21" x14ac:dyDescent="0.25">
      <c r="A62" s="34"/>
      <c r="B62" s="36" t="s">
        <v>4</v>
      </c>
      <c r="C62" s="27">
        <f t="shared" ref="C62:N62" si="17">(D3-C42)*D91/10^6</f>
        <v>1.6016714999999999</v>
      </c>
      <c r="D62" s="27">
        <f t="shared" si="17"/>
        <v>1.5376046399999999</v>
      </c>
      <c r="E62" s="27">
        <f t="shared" si="17"/>
        <v>2.438456420400001</v>
      </c>
      <c r="F62" s="27">
        <f t="shared" si="17"/>
        <v>2.152573137000001</v>
      </c>
      <c r="G62" s="27">
        <f t="shared" si="17"/>
        <v>1.7224326405000001</v>
      </c>
      <c r="H62" s="27">
        <f t="shared" si="17"/>
        <v>1.4562109955250013</v>
      </c>
      <c r="I62" s="27">
        <f t="shared" si="17"/>
        <v>1.2564110760201006</v>
      </c>
      <c r="J62" s="27">
        <f t="shared" si="17"/>
        <v>1.1098090153713425</v>
      </c>
      <c r="K62" s="27">
        <f t="shared" si="17"/>
        <v>1.0471682823594932</v>
      </c>
      <c r="L62" s="27">
        <f t="shared" si="17"/>
        <v>0.929888673112367</v>
      </c>
      <c r="M62" s="27">
        <f t="shared" si="17"/>
        <v>0.8043364868010473</v>
      </c>
      <c r="N62" s="27">
        <f t="shared" si="17"/>
        <v>0.6603168835304295</v>
      </c>
      <c r="O62"/>
      <c r="Q62"/>
      <c r="R62"/>
      <c r="T62"/>
      <c r="U62"/>
    </row>
    <row r="63" spans="1:21" x14ac:dyDescent="0.25">
      <c r="A63" s="34"/>
      <c r="B63" s="36" t="s">
        <v>5</v>
      </c>
      <c r="C63" s="24">
        <f t="shared" ref="C63:N63" si="18">(D3-C43)*D92/1000000</f>
        <v>0.20744294999999993</v>
      </c>
      <c r="D63" s="24">
        <f t="shared" si="18"/>
        <v>0.31116442499999986</v>
      </c>
      <c r="E63" s="24">
        <f t="shared" si="18"/>
        <v>0.93241571280000035</v>
      </c>
      <c r="F63" s="24">
        <f t="shared" si="18"/>
        <v>1.1453927842500002</v>
      </c>
      <c r="G63" s="24">
        <f t="shared" si="18"/>
        <v>1.5753722985</v>
      </c>
      <c r="H63" s="24">
        <f t="shared" si="18"/>
        <v>1.7358858660000007</v>
      </c>
      <c r="I63" s="24">
        <f t="shared" si="18"/>
        <v>1.8802645290000006</v>
      </c>
      <c r="J63" s="24">
        <f t="shared" si="18"/>
        <v>2.1095603100000004</v>
      </c>
      <c r="K63" s="24">
        <f t="shared" si="18"/>
        <v>2.1299378100000004</v>
      </c>
      <c r="L63" s="24">
        <f t="shared" si="18"/>
        <v>2.1503153100000003</v>
      </c>
      <c r="M63" s="24">
        <f t="shared" si="18"/>
        <v>2.1706928100000007</v>
      </c>
      <c r="N63" s="24">
        <f t="shared" si="18"/>
        <v>2.1910703100000006</v>
      </c>
      <c r="O63"/>
      <c r="Q63"/>
      <c r="R63"/>
      <c r="T63"/>
      <c r="U63"/>
    </row>
    <row r="64" spans="1:21" x14ac:dyDescent="0.25">
      <c r="A64" s="34"/>
      <c r="B64" s="38" t="s">
        <v>41</v>
      </c>
      <c r="C64" s="24">
        <f t="shared" ref="C64:N64" si="19">(D3-C44)*D93/10^6</f>
        <v>0.15372786000000002</v>
      </c>
      <c r="D64" s="24">
        <f t="shared" si="19"/>
        <v>0.15372786000000002</v>
      </c>
      <c r="E64" s="24">
        <f t="shared" si="19"/>
        <v>0.2216778564000001</v>
      </c>
      <c r="F64" s="24">
        <f t="shared" si="19"/>
        <v>0.21525731370000012</v>
      </c>
      <c r="G64" s="24">
        <f t="shared" si="19"/>
        <v>0.20877971400000006</v>
      </c>
      <c r="H64" s="24">
        <f t="shared" si="19"/>
        <v>0.19416146607000018</v>
      </c>
      <c r="I64" s="24">
        <f t="shared" si="19"/>
        <v>0.17948729657430013</v>
      </c>
      <c r="J64" s="24">
        <f t="shared" si="19"/>
        <v>0.18496816922855708</v>
      </c>
      <c r="K64" s="24">
        <f t="shared" si="19"/>
        <v>0.19039423315627152</v>
      </c>
      <c r="L64" s="24">
        <f t="shared" si="19"/>
        <v>0.19576603644470889</v>
      </c>
      <c r="M64" s="24">
        <f t="shared" si="19"/>
        <v>0.20108412170026183</v>
      </c>
      <c r="N64" s="24">
        <f t="shared" si="19"/>
        <v>0.2063490261032592</v>
      </c>
      <c r="O64"/>
      <c r="R64"/>
      <c r="U64"/>
    </row>
    <row r="65" spans="1:21" x14ac:dyDescent="0.25">
      <c r="A65" s="34"/>
      <c r="B65" s="32" t="s">
        <v>64</v>
      </c>
      <c r="C65" s="24">
        <f t="shared" ref="C65:N65" si="20">(D3-C45)*D94/10^6</f>
        <v>0</v>
      </c>
      <c r="D65" s="24">
        <f t="shared" si="20"/>
        <v>0</v>
      </c>
      <c r="E65" s="24">
        <f t="shared" si="20"/>
        <v>0</v>
      </c>
      <c r="F65" s="24">
        <f t="shared" si="20"/>
        <v>0</v>
      </c>
      <c r="G65" s="24">
        <f t="shared" si="20"/>
        <v>0</v>
      </c>
      <c r="H65" s="24">
        <f t="shared" si="20"/>
        <v>0</v>
      </c>
      <c r="I65" s="24">
        <f t="shared" si="20"/>
        <v>0</v>
      </c>
      <c r="J65" s="24">
        <f t="shared" si="20"/>
        <v>0</v>
      </c>
      <c r="K65" s="24">
        <f t="shared" si="20"/>
        <v>0</v>
      </c>
      <c r="L65" s="24">
        <f t="shared" si="20"/>
        <v>0</v>
      </c>
      <c r="M65" s="24">
        <f t="shared" si="20"/>
        <v>0</v>
      </c>
      <c r="N65" s="24">
        <f t="shared" si="20"/>
        <v>0</v>
      </c>
      <c r="O65"/>
      <c r="T65"/>
      <c r="U65"/>
    </row>
    <row r="66" spans="1:21" x14ac:dyDescent="0.25">
      <c r="A66" s="34"/>
      <c r="B66" s="88" t="s">
        <v>67</v>
      </c>
      <c r="C66" s="24">
        <f t="shared" ref="C66:H66" si="21">(D3-D46)*D95/10^6</f>
        <v>0.10253958000000001</v>
      </c>
      <c r="D66" s="24">
        <f t="shared" si="21"/>
        <v>0.13432847999999997</v>
      </c>
      <c r="E66" s="24">
        <f t="shared" si="21"/>
        <v>0.1338655032000001</v>
      </c>
      <c r="F66" s="24">
        <f t="shared" si="21"/>
        <v>0.19563744915000009</v>
      </c>
      <c r="G66" s="24">
        <f t="shared" si="21"/>
        <v>0.19043730473625009</v>
      </c>
      <c r="H66" s="24">
        <f t="shared" si="21"/>
        <v>0.17913509359638766</v>
      </c>
      <c r="I66" s="24">
        <f t="shared" ref="I66:N66" si="22">(J4-I46)*J95/10^6</f>
        <v>0.18400429722138753</v>
      </c>
      <c r="J66" s="24">
        <f t="shared" si="22"/>
        <v>0.18782133353417363</v>
      </c>
      <c r="K66" s="24">
        <f t="shared" si="22"/>
        <v>0.19160019948383192</v>
      </c>
      <c r="L66" s="24">
        <f t="shared" si="22"/>
        <v>0.19534127677399357</v>
      </c>
      <c r="M66" s="24">
        <f t="shared" si="22"/>
        <v>0.19904494329125363</v>
      </c>
      <c r="N66" s="24">
        <f t="shared" si="22"/>
        <v>0.20271157314334112</v>
      </c>
      <c r="O66"/>
      <c r="T66"/>
      <c r="U66"/>
    </row>
    <row r="67" spans="1:21" x14ac:dyDescent="0.25">
      <c r="A67" s="34"/>
      <c r="B67" s="36" t="s">
        <v>27</v>
      </c>
      <c r="C67" s="24">
        <f t="shared" ref="C67:N67" si="23">(D3-C47)*D96/10^6</f>
        <v>0</v>
      </c>
      <c r="D67" s="24">
        <f t="shared" si="23"/>
        <v>0</v>
      </c>
      <c r="E67" s="24">
        <f t="shared" si="23"/>
        <v>3.1461392820000003E-2</v>
      </c>
      <c r="F67" s="24">
        <f t="shared" si="23"/>
        <v>9.256524205500001E-2</v>
      </c>
      <c r="G67" s="24">
        <f t="shared" si="23"/>
        <v>0.30248768550000005</v>
      </c>
      <c r="H67" s="24">
        <f t="shared" si="23"/>
        <v>0.43857372487500007</v>
      </c>
      <c r="I67" s="24">
        <f t="shared" si="23"/>
        <v>0.5645545620000002</v>
      </c>
      <c r="J67" s="24">
        <f t="shared" si="23"/>
        <v>1.1291091240000004</v>
      </c>
      <c r="K67" s="24">
        <f t="shared" si="23"/>
        <v>1.4113864050000002</v>
      </c>
      <c r="L67" s="24">
        <f t="shared" si="23"/>
        <v>1.6936636860000005</v>
      </c>
      <c r="M67" s="24">
        <f t="shared" si="23"/>
        <v>1.9759409670000003</v>
      </c>
      <c r="N67" s="24">
        <f t="shared" si="23"/>
        <v>2.2582182480000008</v>
      </c>
      <c r="O67"/>
      <c r="T67"/>
      <c r="U67"/>
    </row>
    <row r="68" spans="1:21" x14ac:dyDescent="0.25">
      <c r="A68" s="34"/>
      <c r="B68" s="36" t="s">
        <v>6</v>
      </c>
      <c r="C68" s="24">
        <f t="shared" ref="C68:N68" si="24">(D3-C48)*D97/10^6</f>
        <v>0.123683274</v>
      </c>
      <c r="D68" s="24">
        <f t="shared" si="24"/>
        <v>0.123683274</v>
      </c>
      <c r="E68" s="24">
        <f t="shared" si="24"/>
        <v>0.24190994256000006</v>
      </c>
      <c r="F68" s="24">
        <f t="shared" si="24"/>
        <v>0.23705944548000002</v>
      </c>
      <c r="G68" s="24">
        <f t="shared" si="24"/>
        <v>0.34831342260000003</v>
      </c>
      <c r="H68" s="24">
        <f t="shared" si="24"/>
        <v>0.33618717990000008</v>
      </c>
      <c r="I68" s="24">
        <f t="shared" si="24"/>
        <v>0.32406093720000012</v>
      </c>
      <c r="J68" s="24">
        <f t="shared" si="24"/>
        <v>0.32406093720000012</v>
      </c>
      <c r="K68" s="24">
        <f t="shared" si="24"/>
        <v>0.32406093720000012</v>
      </c>
      <c r="L68" s="24">
        <f t="shared" si="24"/>
        <v>0.32406093720000012</v>
      </c>
      <c r="M68" s="24">
        <f t="shared" si="24"/>
        <v>0.32406093720000012</v>
      </c>
      <c r="N68" s="24">
        <f t="shared" si="24"/>
        <v>0.32406093720000012</v>
      </c>
      <c r="O68"/>
      <c r="T68"/>
      <c r="U68"/>
    </row>
    <row r="69" spans="1:21" x14ac:dyDescent="0.25">
      <c r="A69" s="34"/>
      <c r="B69" s="32" t="s">
        <v>26</v>
      </c>
      <c r="C69" s="24">
        <f t="shared" ref="C69:N69" si="25">(D3-C49)*D98/10^6</f>
        <v>0</v>
      </c>
      <c r="D69" s="24">
        <f t="shared" si="25"/>
        <v>0</v>
      </c>
      <c r="E69" s="24">
        <f t="shared" si="25"/>
        <v>0</v>
      </c>
      <c r="F69" s="24">
        <f t="shared" si="25"/>
        <v>0</v>
      </c>
      <c r="G69" s="24">
        <f t="shared" si="25"/>
        <v>3.5395753083137353E-2</v>
      </c>
      <c r="H69" s="24">
        <f t="shared" si="25"/>
        <v>0.10174134801338236</v>
      </c>
      <c r="I69" s="24">
        <f t="shared" si="25"/>
        <v>0.16215906129558769</v>
      </c>
      <c r="J69" s="24">
        <f t="shared" si="25"/>
        <v>0.32431812259117537</v>
      </c>
      <c r="K69" s="24">
        <f t="shared" si="25"/>
        <v>0.64863624518235075</v>
      </c>
      <c r="L69" s="24">
        <f t="shared" si="25"/>
        <v>0.97295436777352595</v>
      </c>
      <c r="M69" s="24">
        <f t="shared" si="25"/>
        <v>1.2972724903647015</v>
      </c>
      <c r="N69" s="24">
        <f t="shared" si="25"/>
        <v>1.6215906129558768</v>
      </c>
      <c r="O69"/>
      <c r="T69"/>
      <c r="U69"/>
    </row>
    <row r="70" spans="1:21" x14ac:dyDescent="0.25">
      <c r="A70" s="34"/>
      <c r="B70" s="32" t="s">
        <v>12</v>
      </c>
      <c r="C70" s="24">
        <f t="shared" ref="C70:N70" si="26">2.7*(D3-C50)*D99/10^6</f>
        <v>5.9513641036363643E-4</v>
      </c>
      <c r="D70" s="24">
        <f t="shared" si="26"/>
        <v>6.348121710545454E-3</v>
      </c>
      <c r="E70" s="24">
        <f t="shared" si="26"/>
        <v>1.2517001232872731E-2</v>
      </c>
      <c r="F70" s="24">
        <f t="shared" si="26"/>
        <v>3.0419472033818187E-2</v>
      </c>
      <c r="G70" s="24">
        <f t="shared" si="26"/>
        <v>5.9092881970909096E-2</v>
      </c>
      <c r="H70" s="24">
        <f t="shared" si="26"/>
        <v>8.4274167714545489E-2</v>
      </c>
      <c r="I70" s="24">
        <f t="shared" si="26"/>
        <v>0.10654534996363642</v>
      </c>
      <c r="J70" s="24">
        <f t="shared" si="26"/>
        <v>0.14649985620000006</v>
      </c>
      <c r="K70" s="24">
        <f t="shared" si="26"/>
        <v>0.18645436243636374</v>
      </c>
      <c r="L70" s="24">
        <f t="shared" si="26"/>
        <v>0.23972703741818194</v>
      </c>
      <c r="M70" s="24">
        <f t="shared" si="26"/>
        <v>0.30631788114545472</v>
      </c>
      <c r="N70" s="24">
        <f t="shared" si="26"/>
        <v>0.39954506236363652</v>
      </c>
      <c r="O70"/>
      <c r="T70"/>
      <c r="U70"/>
    </row>
    <row r="71" spans="1:21" x14ac:dyDescent="0.25">
      <c r="A71" s="34"/>
      <c r="B71" s="36" t="s">
        <v>7</v>
      </c>
      <c r="C71" s="24">
        <f t="shared" ref="C71:N71" si="27">3.4*(D3-C51)*D100/10^6</f>
        <v>0.24207401429688985</v>
      </c>
      <c r="D71" s="24">
        <f t="shared" si="27"/>
        <v>0.36133387390726152</v>
      </c>
      <c r="E71" s="24">
        <f t="shared" si="27"/>
        <v>0.48403651152700283</v>
      </c>
      <c r="F71" s="24">
        <f t="shared" si="27"/>
        <v>0.60301557845194675</v>
      </c>
      <c r="G71" s="24">
        <f t="shared" si="27"/>
        <v>0.76216124183500933</v>
      </c>
      <c r="H71" s="24">
        <f t="shared" si="27"/>
        <v>0.9517704535222572</v>
      </c>
      <c r="I71" s="24">
        <f t="shared" si="27"/>
        <v>1.165573512271324</v>
      </c>
      <c r="J71" s="24">
        <f t="shared" si="27"/>
        <v>1.4770854391621633</v>
      </c>
      <c r="K71" s="24">
        <f t="shared" si="27"/>
        <v>1.8341775700647285</v>
      </c>
      <c r="L71" s="24">
        <f t="shared" si="27"/>
        <v>2.2376687141761065</v>
      </c>
      <c r="M71" s="24">
        <f t="shared" si="27"/>
        <v>2.6883172227474557</v>
      </c>
      <c r="N71" s="24">
        <f t="shared" si="27"/>
        <v>3.129915173295128</v>
      </c>
      <c r="O71"/>
      <c r="T71"/>
      <c r="U71"/>
    </row>
    <row r="72" spans="1:21" x14ac:dyDescent="0.25">
      <c r="A72" s="69"/>
      <c r="B72" s="70" t="s">
        <v>43</v>
      </c>
      <c r="C72" s="72">
        <f>SUM(C62:C71)</f>
        <v>2.4317343147072532</v>
      </c>
      <c r="D72" s="72">
        <f>SUM(D62:D71)</f>
        <v>2.6281906746178065</v>
      </c>
      <c r="E72" s="72">
        <f>SUM(E62:E71)</f>
        <v>4.4963403409398763</v>
      </c>
      <c r="F72" s="72">
        <f t="shared" ref="F72:I72" si="28">SUM(F62:F71)</f>
        <v>4.6719204221207669</v>
      </c>
      <c r="G72" s="72">
        <f t="shared" si="28"/>
        <v>5.2044729427253067</v>
      </c>
      <c r="H72" s="72">
        <f t="shared" si="28"/>
        <v>5.4779402952165741</v>
      </c>
      <c r="I72" s="72">
        <f t="shared" si="28"/>
        <v>5.8230606215463379</v>
      </c>
      <c r="J72" s="72">
        <f t="shared" ref="J72:N72" si="29">SUM(J62:J71)</f>
        <v>6.9932323072874132</v>
      </c>
      <c r="K72" s="72">
        <f t="shared" si="29"/>
        <v>7.9638160448830408</v>
      </c>
      <c r="L72" s="72">
        <f t="shared" si="29"/>
        <v>8.9393860388988848</v>
      </c>
      <c r="M72" s="72">
        <f t="shared" si="29"/>
        <v>9.9670678602501752</v>
      </c>
      <c r="N72" s="72">
        <f t="shared" si="29"/>
        <v>10.993777826591673</v>
      </c>
      <c r="O72"/>
      <c r="T72"/>
      <c r="U72"/>
    </row>
    <row r="73" spans="1:21" x14ac:dyDescent="0.25">
      <c r="A73" s="69"/>
      <c r="B73" s="70" t="s">
        <v>45</v>
      </c>
      <c r="C73" s="71">
        <f>(D3-99.18)*D101/10^6</f>
        <v>-1.8887913675396724</v>
      </c>
      <c r="D73" s="71">
        <f>(E3-99.18)*E101/10^6</f>
        <v>-1.8661335209597949</v>
      </c>
      <c r="E73" s="71">
        <f t="shared" ref="E73:N73" si="30">(F3-E57)*F101/10^6</f>
        <v>-5.1197682622906404</v>
      </c>
      <c r="F73" s="71">
        <f t="shared" si="30"/>
        <v>-7.2864004214991223</v>
      </c>
      <c r="G73" s="71">
        <f t="shared" si="30"/>
        <v>-9.3961238290757727</v>
      </c>
      <c r="H73" s="71">
        <f t="shared" si="30"/>
        <v>-12.873282655223715</v>
      </c>
      <c r="I73" s="71">
        <f t="shared" si="30"/>
        <v>-16.216378624398061</v>
      </c>
      <c r="J73" s="71">
        <f t="shared" si="30"/>
        <v>-15.804600064518963</v>
      </c>
      <c r="K73" s="71">
        <f t="shared" si="30"/>
        <v>-15.400318605389103</v>
      </c>
      <c r="L73" s="71">
        <f t="shared" si="30"/>
        <v>-15.012845494479096</v>
      </c>
      <c r="M73" s="71">
        <f t="shared" si="30"/>
        <v>-14.618911312191662</v>
      </c>
      <c r="N73" s="71">
        <f t="shared" si="30"/>
        <v>-14.232721355598249</v>
      </c>
      <c r="O73"/>
      <c r="T73"/>
      <c r="U73"/>
    </row>
    <row r="74" spans="1:21" x14ac:dyDescent="0.25">
      <c r="A74" s="34"/>
      <c r="B74" s="36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/>
      <c r="T74"/>
      <c r="U74"/>
    </row>
    <row r="75" spans="1:21" x14ac:dyDescent="0.25">
      <c r="A75" s="34"/>
      <c r="B75" s="36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/>
      <c r="T75"/>
      <c r="U75"/>
    </row>
    <row r="76" spans="1:21" x14ac:dyDescent="0.25">
      <c r="A76" s="34"/>
      <c r="B76" s="36" t="s">
        <v>79</v>
      </c>
      <c r="C76" s="24">
        <f t="shared" ref="C76:N76" si="31">(D4-C52)*D105/10^6</f>
        <v>0.74059631764359568</v>
      </c>
      <c r="D76" s="24">
        <f t="shared" si="31"/>
        <v>1.0161000145597725</v>
      </c>
      <c r="E76" s="24">
        <f t="shared" si="31"/>
        <v>1.4442743704955701</v>
      </c>
      <c r="F76" s="24">
        <f t="shared" si="31"/>
        <v>1.8207660618030692</v>
      </c>
      <c r="G76" s="24">
        <f t="shared" si="31"/>
        <v>2.0133458262512693</v>
      </c>
      <c r="H76" s="24">
        <f t="shared" si="31"/>
        <v>1.9549858374559641</v>
      </c>
      <c r="I76" s="24">
        <f t="shared" si="31"/>
        <v>1.8966258486606591</v>
      </c>
      <c r="J76" s="24">
        <f t="shared" si="31"/>
        <v>1.9493099000123439</v>
      </c>
      <c r="K76" s="24">
        <f t="shared" si="31"/>
        <v>1.9493099000123439</v>
      </c>
      <c r="L76" s="24">
        <f t="shared" si="31"/>
        <v>1.9493099000123439</v>
      </c>
      <c r="M76" s="24">
        <f t="shared" si="31"/>
        <v>2.0019939513640286</v>
      </c>
      <c r="N76" s="24">
        <f t="shared" si="31"/>
        <v>2.0019939513640286</v>
      </c>
      <c r="O76"/>
      <c r="T76"/>
      <c r="U76"/>
    </row>
    <row r="77" spans="1:21" x14ac:dyDescent="0.25">
      <c r="A77" s="34"/>
      <c r="B77" s="36" t="s">
        <v>8</v>
      </c>
      <c r="C77" s="24">
        <f t="shared" ref="C77:N77" si="32">(D4-C53)*D106/10^6</f>
        <v>0.9653738999999999</v>
      </c>
      <c r="D77" s="24">
        <f t="shared" si="32"/>
        <v>1.4480608499999998</v>
      </c>
      <c r="E77" s="24">
        <f t="shared" si="32"/>
        <v>2.131562685</v>
      </c>
      <c r="F77" s="24">
        <f t="shared" si="32"/>
        <v>2.4978874634999997</v>
      </c>
      <c r="G77" s="24">
        <f t="shared" si="32"/>
        <v>2.6004263519999995</v>
      </c>
      <c r="H77" s="24">
        <f t="shared" si="32"/>
        <v>2.8055041289999996</v>
      </c>
      <c r="I77" s="24">
        <f t="shared" si="32"/>
        <v>2.9839206799999998</v>
      </c>
      <c r="J77" s="24">
        <f t="shared" si="32"/>
        <v>3.7299008499999995</v>
      </c>
      <c r="K77" s="24">
        <f t="shared" si="32"/>
        <v>4.1028909349999996</v>
      </c>
      <c r="L77" s="24">
        <f t="shared" si="32"/>
        <v>4.4758810199999992</v>
      </c>
      <c r="M77" s="24">
        <f t="shared" si="32"/>
        <v>4.4758810199999992</v>
      </c>
      <c r="N77" s="24">
        <f t="shared" si="32"/>
        <v>4.4758810199999992</v>
      </c>
      <c r="O77"/>
      <c r="T77"/>
      <c r="U77"/>
    </row>
    <row r="78" spans="1:21" x14ac:dyDescent="0.25">
      <c r="A78" s="34"/>
      <c r="B78" s="36" t="s">
        <v>73</v>
      </c>
      <c r="C78" s="24">
        <f t="shared" ref="C78:N78" si="33">(D4-C54)*D107/10^6</f>
        <v>0.25461894499999999</v>
      </c>
      <c r="D78" s="24">
        <f t="shared" si="33"/>
        <v>0.29099307999999996</v>
      </c>
      <c r="E78" s="24">
        <f t="shared" si="33"/>
        <v>0.33094250335999997</v>
      </c>
      <c r="F78" s="24">
        <f t="shared" si="33"/>
        <v>0.31435105687999987</v>
      </c>
      <c r="G78" s="24">
        <f t="shared" si="33"/>
        <v>0.29775961039999987</v>
      </c>
      <c r="H78" s="24">
        <f t="shared" si="33"/>
        <v>0.27010719959999996</v>
      </c>
      <c r="I78" s="24">
        <f t="shared" si="33"/>
        <v>0.18184109159999995</v>
      </c>
      <c r="J78" s="24">
        <f t="shared" si="33"/>
        <v>0.12122739439999999</v>
      </c>
      <c r="K78" s="24">
        <f t="shared" si="33"/>
        <v>0.12122739439999999</v>
      </c>
      <c r="L78" s="24">
        <f t="shared" si="33"/>
        <v>0.12122739439999999</v>
      </c>
      <c r="M78" s="24">
        <f t="shared" si="33"/>
        <v>0.12122739439999999</v>
      </c>
      <c r="N78" s="24">
        <f t="shared" si="33"/>
        <v>0.12122739439999999</v>
      </c>
      <c r="O78"/>
      <c r="T78"/>
      <c r="U78"/>
    </row>
    <row r="79" spans="1:21" x14ac:dyDescent="0.25">
      <c r="A79" s="34"/>
      <c r="B79" s="32" t="s">
        <v>72</v>
      </c>
      <c r="C79" s="71">
        <f t="shared" ref="C79:N79" si="34">(D4-C55)*D108/10^6</f>
        <v>0.48442817499999996</v>
      </c>
      <c r="D79" s="71">
        <f t="shared" si="34"/>
        <v>0.58131380999999993</v>
      </c>
      <c r="E79" s="71">
        <f t="shared" si="34"/>
        <v>0.81503450335999994</v>
      </c>
      <c r="F79" s="71">
        <f t="shared" si="34"/>
        <v>0.99805382109999985</v>
      </c>
      <c r="G79" s="71">
        <f t="shared" si="34"/>
        <v>1.3682403181999996</v>
      </c>
      <c r="H79" s="71">
        <f t="shared" si="34"/>
        <v>1.6969481990999997</v>
      </c>
      <c r="I79" s="71">
        <f t="shared" si="34"/>
        <v>2.1796403663999997</v>
      </c>
      <c r="J79" s="71">
        <f t="shared" si="34"/>
        <v>2.7245504579999995</v>
      </c>
      <c r="K79" s="71">
        <f t="shared" si="34"/>
        <v>3.0878238524000001</v>
      </c>
      <c r="L79" s="71">
        <f t="shared" si="34"/>
        <v>3.4510972467999999</v>
      </c>
      <c r="M79" s="71">
        <f t="shared" si="34"/>
        <v>3.8143706412</v>
      </c>
      <c r="N79" s="71">
        <f t="shared" si="34"/>
        <v>4.1776440355999993</v>
      </c>
      <c r="O79"/>
      <c r="T79"/>
      <c r="U79"/>
    </row>
    <row r="80" spans="1:21" x14ac:dyDescent="0.25">
      <c r="A80" s="34"/>
      <c r="B80" s="36" t="s">
        <v>9</v>
      </c>
      <c r="C80" s="24">
        <f t="shared" ref="C80:N80" si="35">(D4-C56)*D109/10^6</f>
        <v>0</v>
      </c>
      <c r="D80" s="24">
        <f t="shared" si="35"/>
        <v>0</v>
      </c>
      <c r="E80" s="24">
        <f t="shared" si="35"/>
        <v>0.21338731403011338</v>
      </c>
      <c r="F80" s="24">
        <f t="shared" si="35"/>
        <v>0.20839026085852008</v>
      </c>
      <c r="G80" s="24">
        <f t="shared" si="35"/>
        <v>0.20339320768692687</v>
      </c>
      <c r="H80" s="24">
        <f t="shared" si="35"/>
        <v>0.1950647857342715</v>
      </c>
      <c r="I80" s="24">
        <f t="shared" si="35"/>
        <v>0.18673636378161607</v>
      </c>
      <c r="J80" s="24">
        <f t="shared" si="35"/>
        <v>0.18673636378161607</v>
      </c>
      <c r="K80" s="24">
        <f t="shared" si="35"/>
        <v>0.18673636378161607</v>
      </c>
      <c r="L80" s="24">
        <f t="shared" si="35"/>
        <v>0.18673636378161607</v>
      </c>
      <c r="M80" s="24">
        <f t="shared" si="35"/>
        <v>0.18673636378161607</v>
      </c>
      <c r="N80" s="24">
        <f t="shared" si="35"/>
        <v>0.18673636378161607</v>
      </c>
      <c r="O80"/>
      <c r="T80"/>
      <c r="U80"/>
    </row>
    <row r="81" spans="1:21" x14ac:dyDescent="0.25">
      <c r="A81" s="69"/>
      <c r="B81" s="70" t="s">
        <v>44</v>
      </c>
      <c r="C81" s="71">
        <f t="shared" ref="C81:N81" si="36">SUM(C76:C80)</f>
        <v>2.4450173376435957</v>
      </c>
      <c r="D81" s="71">
        <f t="shared" si="36"/>
        <v>3.3364677545597718</v>
      </c>
      <c r="E81" s="71">
        <f t="shared" si="36"/>
        <v>4.9352013762456828</v>
      </c>
      <c r="F81" s="71">
        <f t="shared" si="36"/>
        <v>5.8394486641415888</v>
      </c>
      <c r="G81" s="71">
        <f t="shared" si="36"/>
        <v>6.4831653145381951</v>
      </c>
      <c r="H81" s="71">
        <f t="shared" si="36"/>
        <v>6.9226101508902351</v>
      </c>
      <c r="I81" s="71">
        <f t="shared" si="36"/>
        <v>7.4287643504422753</v>
      </c>
      <c r="J81" s="71">
        <f t="shared" si="36"/>
        <v>8.7117249661939589</v>
      </c>
      <c r="K81" s="71">
        <f t="shared" si="36"/>
        <v>9.4479884455939604</v>
      </c>
      <c r="L81" s="71">
        <f t="shared" si="36"/>
        <v>10.184251924993958</v>
      </c>
      <c r="M81" s="71">
        <f t="shared" si="36"/>
        <v>10.600209370745644</v>
      </c>
      <c r="N81" s="71">
        <f t="shared" si="36"/>
        <v>10.963482765145642</v>
      </c>
      <c r="O81"/>
      <c r="T81"/>
      <c r="U81"/>
    </row>
    <row r="82" spans="1:21" x14ac:dyDescent="0.25">
      <c r="A82" s="69"/>
      <c r="B82" s="70" t="s">
        <v>46</v>
      </c>
      <c r="C82" s="73">
        <f>(D4-98.03)*D111/10^6</f>
        <v>-0.45186524328140493</v>
      </c>
      <c r="D82" s="73">
        <f>(E4-98.03)*E111/10^6</f>
        <v>-0.44589336305110649</v>
      </c>
      <c r="E82" s="73">
        <f t="shared" ref="E82:N82" si="37">(F4-E58)*F111/10^6</f>
        <v>-0.91220457744735339</v>
      </c>
      <c r="F82" s="73">
        <f t="shared" si="37"/>
        <v>-1.5771894813202247</v>
      </c>
      <c r="G82" s="73">
        <f t="shared" si="37"/>
        <v>-2.2396448823958202</v>
      </c>
      <c r="H82" s="73">
        <f t="shared" si="37"/>
        <v>-3.3396108632477906</v>
      </c>
      <c r="I82" s="73">
        <f t="shared" si="37"/>
        <v>-4.4275714837662186</v>
      </c>
      <c r="J82" s="73">
        <f t="shared" si="37"/>
        <v>-4.3171111260981112</v>
      </c>
      <c r="K82" s="73">
        <f t="shared" si="37"/>
        <v>-4.2810578021864529</v>
      </c>
      <c r="L82" s="73">
        <f t="shared" si="37"/>
        <v>-4.2462930467151176</v>
      </c>
      <c r="M82" s="73">
        <f t="shared" si="37"/>
        <v>-4.2730048100112361</v>
      </c>
      <c r="N82" s="73">
        <f t="shared" si="37"/>
        <v>-4.3075285319282655</v>
      </c>
      <c r="O82"/>
      <c r="T82"/>
      <c r="U82"/>
    </row>
    <row r="83" spans="1:21" x14ac:dyDescent="0.25">
      <c r="A83" s="34"/>
      <c r="B83" s="32" t="s">
        <v>42</v>
      </c>
      <c r="C83" s="90">
        <f t="shared" ref="C83:N83" si="38">C72+C73+C81+C82+C84</f>
        <v>2.5360950415297716</v>
      </c>
      <c r="D83" s="90">
        <f t="shared" si="38"/>
        <v>3.6526315451666767</v>
      </c>
      <c r="E83" s="90">
        <f t="shared" si="38"/>
        <v>3.3995688774475652</v>
      </c>
      <c r="F83" s="90">
        <f t="shared" si="38"/>
        <v>2.0977791834430084</v>
      </c>
      <c r="G83" s="90">
        <f t="shared" si="38"/>
        <v>0.72686954579190888</v>
      </c>
      <c r="H83" s="90">
        <f t="shared" si="38"/>
        <v>-2.9123430723646964</v>
      </c>
      <c r="I83" s="90">
        <f t="shared" si="38"/>
        <v>-6.2671251361756664</v>
      </c>
      <c r="J83" s="90">
        <f t="shared" si="38"/>
        <v>-3.0667539171357037</v>
      </c>
      <c r="K83" s="90">
        <f t="shared" si="38"/>
        <v>-0.69457191709855426</v>
      </c>
      <c r="L83" s="90">
        <f t="shared" si="38"/>
        <v>1.6644994226986292</v>
      </c>
      <c r="M83" s="90">
        <f t="shared" si="38"/>
        <v>3.7003611087929213</v>
      </c>
      <c r="N83" s="90">
        <f t="shared" si="38"/>
        <v>5.6670107042108011</v>
      </c>
      <c r="O83"/>
      <c r="T83"/>
      <c r="U83"/>
    </row>
    <row r="84" spans="1:21" x14ac:dyDescent="0.25">
      <c r="A84" s="34"/>
      <c r="B84" s="32" t="s">
        <v>68</v>
      </c>
      <c r="C84" s="90">
        <v>0</v>
      </c>
      <c r="D84" s="90">
        <v>0</v>
      </c>
      <c r="E84" s="90">
        <v>0</v>
      </c>
      <c r="F84" s="90">
        <v>0.44999999999999996</v>
      </c>
      <c r="G84" s="90">
        <v>0.67499999999999993</v>
      </c>
      <c r="H84" s="90">
        <v>0.89999999999999991</v>
      </c>
      <c r="I84" s="90">
        <v>1.1250000000000002</v>
      </c>
      <c r="J84" s="90">
        <v>1.3499999999999999</v>
      </c>
      <c r="K84" s="90">
        <v>1.5750000000000002</v>
      </c>
      <c r="L84" s="90">
        <v>1.7999999999999998</v>
      </c>
      <c r="M84" s="90">
        <v>2.0250000000000004</v>
      </c>
      <c r="N84" s="90">
        <v>2.2500000000000004</v>
      </c>
      <c r="O84"/>
      <c r="U84"/>
    </row>
    <row r="85" spans="1:21" x14ac:dyDescent="0.25">
      <c r="A85" s="34"/>
      <c r="B85" s="32" t="s">
        <v>51</v>
      </c>
      <c r="C85" s="90">
        <f t="shared" ref="C85:N85" si="39">C81+C72+C84</f>
        <v>4.8767516523508494</v>
      </c>
      <c r="D85" s="90">
        <f t="shared" si="39"/>
        <v>5.9646584291775788</v>
      </c>
      <c r="E85" s="90">
        <f t="shared" si="39"/>
        <v>9.43154171718556</v>
      </c>
      <c r="F85" s="90">
        <f t="shared" si="39"/>
        <v>10.961369086262355</v>
      </c>
      <c r="G85" s="90">
        <f t="shared" si="39"/>
        <v>12.362638257263502</v>
      </c>
      <c r="H85" s="90">
        <f t="shared" si="39"/>
        <v>13.30055044610681</v>
      </c>
      <c r="I85" s="90">
        <f t="shared" si="39"/>
        <v>14.376824971988613</v>
      </c>
      <c r="J85" s="90">
        <f t="shared" si="39"/>
        <v>17.054957273481374</v>
      </c>
      <c r="K85" s="90">
        <f t="shared" si="39"/>
        <v>18.986804490477002</v>
      </c>
      <c r="L85" s="90">
        <f t="shared" si="39"/>
        <v>20.923637963892844</v>
      </c>
      <c r="M85" s="90">
        <f t="shared" si="39"/>
        <v>22.592277230995819</v>
      </c>
      <c r="N85" s="90">
        <f t="shared" si="39"/>
        <v>24.207260591737317</v>
      </c>
      <c r="O85"/>
      <c r="T85"/>
      <c r="U85"/>
    </row>
    <row r="86" spans="1:21" x14ac:dyDescent="0.25">
      <c r="A86" s="34"/>
      <c r="B86" s="32" t="s">
        <v>52</v>
      </c>
      <c r="C86" s="90">
        <f t="shared" ref="C86:N86" si="40">C73+C82</f>
        <v>-2.3406566108210773</v>
      </c>
      <c r="D86" s="90">
        <f t="shared" si="40"/>
        <v>-2.3120268840109013</v>
      </c>
      <c r="E86" s="90">
        <f t="shared" si="40"/>
        <v>-6.0319728397379935</v>
      </c>
      <c r="F86" s="90">
        <f t="shared" si="40"/>
        <v>-8.8635899028193474</v>
      </c>
      <c r="G86" s="90">
        <f t="shared" si="40"/>
        <v>-11.635768711471593</v>
      </c>
      <c r="H86" s="90">
        <f t="shared" si="40"/>
        <v>-16.212893518471507</v>
      </c>
      <c r="I86" s="90">
        <f t="shared" si="40"/>
        <v>-20.64395010816428</v>
      </c>
      <c r="J86" s="90">
        <f t="shared" si="40"/>
        <v>-20.121711190617074</v>
      </c>
      <c r="K86" s="90">
        <f t="shared" si="40"/>
        <v>-19.681376407575556</v>
      </c>
      <c r="L86" s="90">
        <f t="shared" si="40"/>
        <v>-19.259138541194215</v>
      </c>
      <c r="M86" s="90">
        <f t="shared" si="40"/>
        <v>-18.891916122202897</v>
      </c>
      <c r="N86" s="90">
        <f t="shared" si="40"/>
        <v>-18.540249887526514</v>
      </c>
      <c r="O86"/>
      <c r="P86"/>
      <c r="T86"/>
      <c r="U86"/>
    </row>
    <row r="87" spans="1:21" x14ac:dyDescent="0.25">
      <c r="A87" s="69"/>
      <c r="B87" s="70" t="s">
        <v>53</v>
      </c>
      <c r="C87" s="98">
        <f>3+C83</f>
        <v>5.5360950415297712</v>
      </c>
      <c r="D87" s="98">
        <f t="shared" ref="D87:I87" si="41">C87+D83</f>
        <v>9.1887265866964469</v>
      </c>
      <c r="E87" s="98">
        <f t="shared" si="41"/>
        <v>12.588295464144013</v>
      </c>
      <c r="F87" s="98">
        <f t="shared" si="41"/>
        <v>14.68607464758702</v>
      </c>
      <c r="G87" s="98">
        <f t="shared" si="41"/>
        <v>15.412944193378928</v>
      </c>
      <c r="H87" s="98">
        <f t="shared" si="41"/>
        <v>12.500601121014231</v>
      </c>
      <c r="I87" s="98">
        <f t="shared" si="41"/>
        <v>6.2334759848385648</v>
      </c>
      <c r="J87" s="98">
        <f t="shared" ref="J87" si="42">I87+J83</f>
        <v>3.1667220677028611</v>
      </c>
      <c r="K87" s="98">
        <f t="shared" ref="K87" si="43">J87+K83</f>
        <v>2.4721501506043069</v>
      </c>
      <c r="L87" s="98">
        <f t="shared" ref="L87" si="44">K87+L83</f>
        <v>4.136649573302936</v>
      </c>
      <c r="M87" s="98">
        <f t="shared" ref="M87" si="45">L87+M83</f>
        <v>7.8370106820958574</v>
      </c>
      <c r="N87" s="98">
        <f t="shared" ref="N87" si="46">M87+N83</f>
        <v>13.504021386306658</v>
      </c>
      <c r="O87"/>
      <c r="P87"/>
      <c r="T87"/>
      <c r="U87"/>
    </row>
    <row r="88" spans="1:21" s="28" customFormat="1" x14ac:dyDescent="0.25">
      <c r="A88"/>
      <c r="B88" s="36"/>
      <c r="C88" s="17"/>
      <c r="D88" s="17"/>
      <c r="E88" s="17"/>
      <c r="F88" s="17"/>
      <c r="G88" s="17"/>
      <c r="H88" s="17"/>
      <c r="I88" s="17"/>
      <c r="J88" s="17"/>
      <c r="K88" s="45"/>
      <c r="L88" s="45"/>
      <c r="M88" s="45"/>
      <c r="N88" s="45"/>
      <c r="O88" s="45"/>
      <c r="P88" s="45"/>
      <c r="Q88" s="45"/>
      <c r="R88" s="45"/>
      <c r="S88" s="45"/>
    </row>
    <row r="89" spans="1:21" s="28" customFormat="1" x14ac:dyDescent="0.25">
      <c r="A89"/>
      <c r="B89" s="34"/>
      <c r="C89" s="34"/>
      <c r="D89" s="152" t="s">
        <v>36</v>
      </c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45"/>
      <c r="R89" s="45"/>
      <c r="S89" s="45"/>
    </row>
    <row r="90" spans="1:21" s="29" customFormat="1" x14ac:dyDescent="0.25">
      <c r="A90" s="41" t="s">
        <v>30</v>
      </c>
      <c r="B90" s="41" t="s">
        <v>25</v>
      </c>
      <c r="C90" s="11" t="s">
        <v>31</v>
      </c>
      <c r="D90" s="6">
        <v>2014</v>
      </c>
      <c r="E90" s="6">
        <v>2015</v>
      </c>
      <c r="F90" s="6">
        <v>2016</v>
      </c>
      <c r="G90" s="6">
        <v>2017</v>
      </c>
      <c r="H90" s="6">
        <v>2018</v>
      </c>
      <c r="I90" s="6">
        <v>2019</v>
      </c>
      <c r="J90" s="6">
        <v>2020</v>
      </c>
      <c r="K90" s="58">
        <v>2021</v>
      </c>
      <c r="L90" s="58">
        <v>2022</v>
      </c>
      <c r="M90" s="58">
        <v>2023</v>
      </c>
      <c r="N90" s="58">
        <v>2024</v>
      </c>
      <c r="O90" s="58">
        <v>2025</v>
      </c>
      <c r="P90" s="45"/>
      <c r="Q90" s="45"/>
      <c r="R90" s="45"/>
      <c r="S90" s="45"/>
    </row>
    <row r="91" spans="1:21" x14ac:dyDescent="0.25">
      <c r="A91" s="2" t="s">
        <v>4</v>
      </c>
      <c r="B91" s="2" t="s">
        <v>38</v>
      </c>
      <c r="C91" s="20">
        <v>81.510000000000005</v>
      </c>
      <c r="D91" s="15">
        <f t="shared" ref="D91:O91" si="47">$C$91*D12</f>
        <v>101887.5</v>
      </c>
      <c r="E91" s="15">
        <f t="shared" si="47"/>
        <v>97812</v>
      </c>
      <c r="F91" s="15">
        <f t="shared" si="47"/>
        <v>89661</v>
      </c>
      <c r="G91" s="15">
        <f t="shared" si="47"/>
        <v>81510</v>
      </c>
      <c r="H91" s="15">
        <f t="shared" si="47"/>
        <v>67245.75</v>
      </c>
      <c r="I91" s="15">
        <f t="shared" si="47"/>
        <v>61132.500000000007</v>
      </c>
      <c r="J91" s="15">
        <f t="shared" si="47"/>
        <v>57057</v>
      </c>
      <c r="K91" s="15">
        <f t="shared" si="47"/>
        <v>48906</v>
      </c>
      <c r="L91" s="15">
        <f t="shared" si="47"/>
        <v>44830.5</v>
      </c>
      <c r="M91" s="15">
        <f t="shared" si="47"/>
        <v>38717.25</v>
      </c>
      <c r="N91" s="15">
        <f t="shared" si="47"/>
        <v>32604.000000000004</v>
      </c>
      <c r="O91" s="15">
        <f t="shared" si="47"/>
        <v>26083.200000000001</v>
      </c>
      <c r="T91"/>
      <c r="U91"/>
    </row>
    <row r="92" spans="1:21" x14ac:dyDescent="0.25">
      <c r="A92" s="2" t="s">
        <v>5</v>
      </c>
      <c r="B92" s="2" t="s">
        <v>38</v>
      </c>
      <c r="C92" s="20">
        <v>81.510000000000005</v>
      </c>
      <c r="D92" s="15">
        <f t="shared" ref="D92:O92" si="48">D13*$C$92</f>
        <v>8151.0000000000009</v>
      </c>
      <c r="E92" s="15">
        <f t="shared" si="48"/>
        <v>12226.5</v>
      </c>
      <c r="F92" s="15">
        <f t="shared" si="48"/>
        <v>16302.000000000002</v>
      </c>
      <c r="G92" s="15">
        <f t="shared" si="48"/>
        <v>20377.5</v>
      </c>
      <c r="H92" s="15">
        <f t="shared" si="48"/>
        <v>28528.5</v>
      </c>
      <c r="I92" s="15">
        <f t="shared" si="48"/>
        <v>32604.000000000004</v>
      </c>
      <c r="J92" s="15">
        <f t="shared" si="48"/>
        <v>36679.5</v>
      </c>
      <c r="K92" s="15">
        <f t="shared" si="48"/>
        <v>40755</v>
      </c>
      <c r="L92" s="15">
        <f t="shared" si="48"/>
        <v>40755</v>
      </c>
      <c r="M92" s="15">
        <f t="shared" si="48"/>
        <v>40755</v>
      </c>
      <c r="N92" s="15">
        <f t="shared" si="48"/>
        <v>40755</v>
      </c>
      <c r="O92" s="15">
        <f t="shared" si="48"/>
        <v>40755</v>
      </c>
      <c r="T92"/>
      <c r="U92"/>
    </row>
    <row r="93" spans="1:21" x14ac:dyDescent="0.25">
      <c r="A93" s="26" t="s">
        <v>41</v>
      </c>
      <c r="B93" s="2" t="s">
        <v>38</v>
      </c>
      <c r="C93" s="20">
        <v>81.510000000000005</v>
      </c>
      <c r="D93" s="15">
        <f t="shared" ref="D93:O93" si="49">D14*$C$93</f>
        <v>8151.0000000000009</v>
      </c>
      <c r="E93" s="15">
        <f t="shared" si="49"/>
        <v>8151.0000000000009</v>
      </c>
      <c r="F93" s="15">
        <f t="shared" si="49"/>
        <v>8151.0000000000009</v>
      </c>
      <c r="G93" s="15">
        <f t="shared" si="49"/>
        <v>8151.0000000000009</v>
      </c>
      <c r="H93" s="15">
        <f t="shared" si="49"/>
        <v>8151.0000000000009</v>
      </c>
      <c r="I93" s="15">
        <f t="shared" si="49"/>
        <v>8151.0000000000009</v>
      </c>
      <c r="J93" s="15">
        <f t="shared" si="49"/>
        <v>8151.0000000000009</v>
      </c>
      <c r="K93" s="15">
        <f t="shared" si="49"/>
        <v>8151.0000000000009</v>
      </c>
      <c r="L93" s="15">
        <f t="shared" si="49"/>
        <v>8151.0000000000009</v>
      </c>
      <c r="M93" s="15">
        <f t="shared" si="49"/>
        <v>8151.0000000000009</v>
      </c>
      <c r="N93" s="15">
        <f t="shared" si="49"/>
        <v>8151.0000000000009</v>
      </c>
      <c r="O93" s="15">
        <f t="shared" si="49"/>
        <v>8151.0000000000009</v>
      </c>
      <c r="T93"/>
      <c r="U93"/>
    </row>
    <row r="94" spans="1:21" x14ac:dyDescent="0.25">
      <c r="A94" s="89" t="s">
        <v>64</v>
      </c>
      <c r="B94" s="2" t="s">
        <v>38</v>
      </c>
      <c r="C94" s="20">
        <v>81.510000000000005</v>
      </c>
      <c r="D94" s="15">
        <f t="shared" ref="D94:O94" si="50">$C$94*D15</f>
        <v>0</v>
      </c>
      <c r="E94" s="15">
        <f t="shared" si="50"/>
        <v>0</v>
      </c>
      <c r="F94" s="15">
        <f t="shared" si="50"/>
        <v>0</v>
      </c>
      <c r="G94" s="15">
        <f t="shared" si="50"/>
        <v>0</v>
      </c>
      <c r="H94" s="15">
        <f t="shared" si="50"/>
        <v>0</v>
      </c>
      <c r="I94" s="15">
        <f t="shared" si="50"/>
        <v>0</v>
      </c>
      <c r="J94" s="15">
        <f t="shared" si="50"/>
        <v>0</v>
      </c>
      <c r="K94" s="15">
        <f t="shared" si="50"/>
        <v>0</v>
      </c>
      <c r="L94" s="15">
        <f t="shared" si="50"/>
        <v>0</v>
      </c>
      <c r="M94" s="15">
        <f t="shared" si="50"/>
        <v>0</v>
      </c>
      <c r="N94" s="15">
        <f t="shared" si="50"/>
        <v>0</v>
      </c>
      <c r="O94" s="15">
        <f t="shared" si="50"/>
        <v>0</v>
      </c>
      <c r="T94"/>
      <c r="U94"/>
    </row>
    <row r="95" spans="1:21" x14ac:dyDescent="0.25">
      <c r="A95" s="77" t="s">
        <v>67</v>
      </c>
      <c r="B95" s="2" t="s">
        <v>38</v>
      </c>
      <c r="C95" s="20">
        <v>81.510000000000005</v>
      </c>
      <c r="D95" s="15">
        <f t="shared" ref="D95:O95" si="51">$C$95*D16</f>
        <v>4075.5000000000005</v>
      </c>
      <c r="E95" s="15">
        <f t="shared" si="51"/>
        <v>4075.5000000000005</v>
      </c>
      <c r="F95" s="15">
        <f t="shared" si="51"/>
        <v>4075.5000000000005</v>
      </c>
      <c r="G95" s="15">
        <f t="shared" si="51"/>
        <v>6113.25</v>
      </c>
      <c r="H95" s="15">
        <f t="shared" si="51"/>
        <v>6113.25</v>
      </c>
      <c r="I95" s="15">
        <f t="shared" si="51"/>
        <v>6113.25</v>
      </c>
      <c r="J95" s="15">
        <f t="shared" si="51"/>
        <v>6113.25</v>
      </c>
      <c r="K95" s="15">
        <f t="shared" si="51"/>
        <v>6113.25</v>
      </c>
      <c r="L95" s="15">
        <f t="shared" si="51"/>
        <v>6113.25</v>
      </c>
      <c r="M95" s="15">
        <f t="shared" si="51"/>
        <v>6113.25</v>
      </c>
      <c r="N95" s="15">
        <f t="shared" si="51"/>
        <v>6113.25</v>
      </c>
      <c r="O95" s="15">
        <f t="shared" si="51"/>
        <v>6113.25</v>
      </c>
      <c r="T95"/>
      <c r="U95"/>
    </row>
    <row r="96" spans="1:21" x14ac:dyDescent="0.25">
      <c r="A96" s="2" t="s">
        <v>27</v>
      </c>
      <c r="B96" s="2" t="s">
        <v>38</v>
      </c>
      <c r="C96" s="20">
        <v>81.510000000000005</v>
      </c>
      <c r="D96" s="15">
        <f t="shared" ref="D96:O96" si="52">$C$96*D17</f>
        <v>0</v>
      </c>
      <c r="E96" s="15">
        <f t="shared" si="52"/>
        <v>0</v>
      </c>
      <c r="F96" s="15">
        <f t="shared" si="52"/>
        <v>407.55</v>
      </c>
      <c r="G96" s="15">
        <f t="shared" si="52"/>
        <v>1222.6500000000001</v>
      </c>
      <c r="H96" s="15">
        <f t="shared" si="52"/>
        <v>4075.5000000000005</v>
      </c>
      <c r="I96" s="15">
        <f t="shared" si="52"/>
        <v>6113.25</v>
      </c>
      <c r="J96" s="15">
        <f t="shared" si="52"/>
        <v>8151.0000000000009</v>
      </c>
      <c r="K96" s="15">
        <f t="shared" si="52"/>
        <v>16302.000000000002</v>
      </c>
      <c r="L96" s="15">
        <f t="shared" si="52"/>
        <v>20377.5</v>
      </c>
      <c r="M96" s="15">
        <f t="shared" si="52"/>
        <v>24453</v>
      </c>
      <c r="N96" s="15">
        <f t="shared" si="52"/>
        <v>28528.5</v>
      </c>
      <c r="O96" s="15">
        <f t="shared" si="52"/>
        <v>32604.000000000004</v>
      </c>
      <c r="T96"/>
      <c r="U96"/>
    </row>
    <row r="97" spans="1:21" x14ac:dyDescent="0.25">
      <c r="A97" s="2" t="s">
        <v>6</v>
      </c>
      <c r="B97" s="2" t="s">
        <v>38</v>
      </c>
      <c r="C97" s="20">
        <v>81.510000000000005</v>
      </c>
      <c r="D97" s="15">
        <f t="shared" ref="D97:O97" si="53">$C$97*D18</f>
        <v>1630.2</v>
      </c>
      <c r="E97" s="15">
        <f t="shared" si="53"/>
        <v>1630.2</v>
      </c>
      <c r="F97" s="15">
        <f t="shared" si="53"/>
        <v>3260.4</v>
      </c>
      <c r="G97" s="15">
        <f t="shared" si="53"/>
        <v>3260.4</v>
      </c>
      <c r="H97" s="15">
        <f t="shared" si="53"/>
        <v>4890.6000000000004</v>
      </c>
      <c r="I97" s="15">
        <f t="shared" si="53"/>
        <v>4890.6000000000004</v>
      </c>
      <c r="J97" s="15">
        <f t="shared" si="53"/>
        <v>4890.6000000000004</v>
      </c>
      <c r="K97" s="15">
        <f t="shared" si="53"/>
        <v>4890.6000000000004</v>
      </c>
      <c r="L97" s="15">
        <f t="shared" si="53"/>
        <v>4890.6000000000004</v>
      </c>
      <c r="M97" s="15">
        <f t="shared" si="53"/>
        <v>4890.6000000000004</v>
      </c>
      <c r="N97" s="15">
        <f t="shared" si="53"/>
        <v>4890.6000000000004</v>
      </c>
      <c r="O97" s="15">
        <f t="shared" si="53"/>
        <v>4890.6000000000004</v>
      </c>
      <c r="T97"/>
      <c r="U97"/>
    </row>
    <row r="98" spans="1:21" x14ac:dyDescent="0.25">
      <c r="A98" s="7" t="s">
        <v>26</v>
      </c>
      <c r="B98" s="2" t="s">
        <v>38</v>
      </c>
      <c r="C98" s="20">
        <v>119.53784327565342</v>
      </c>
      <c r="D98" s="16">
        <f t="shared" ref="D98:O98" si="54">$C$98*D19</f>
        <v>0</v>
      </c>
      <c r="E98" s="16">
        <f t="shared" si="54"/>
        <v>0</v>
      </c>
      <c r="F98" s="16">
        <f t="shared" si="54"/>
        <v>0</v>
      </c>
      <c r="G98" s="16">
        <f t="shared" si="54"/>
        <v>0</v>
      </c>
      <c r="H98" s="16">
        <f t="shared" si="54"/>
        <v>597.68921637826702</v>
      </c>
      <c r="I98" s="16">
        <f t="shared" si="54"/>
        <v>1793.0676491348013</v>
      </c>
      <c r="J98" s="16">
        <f t="shared" si="54"/>
        <v>2988.4460818913353</v>
      </c>
      <c r="K98" s="16">
        <f t="shared" si="54"/>
        <v>5976.8921637826707</v>
      </c>
      <c r="L98" s="16">
        <f t="shared" si="54"/>
        <v>11953.784327565341</v>
      </c>
      <c r="M98" s="16">
        <f t="shared" si="54"/>
        <v>17930.676491348011</v>
      </c>
      <c r="N98" s="16">
        <f t="shared" si="54"/>
        <v>23907.568655130683</v>
      </c>
      <c r="O98" s="16">
        <f t="shared" si="54"/>
        <v>29884.460818913354</v>
      </c>
      <c r="T98"/>
      <c r="U98"/>
    </row>
    <row r="99" spans="1:21" x14ac:dyDescent="0.25">
      <c r="A99" s="7" t="s">
        <v>12</v>
      </c>
      <c r="B99" s="7" t="s">
        <v>38</v>
      </c>
      <c r="C99" s="47">
        <v>119.54</v>
      </c>
      <c r="D99" s="16">
        <f t="shared" ref="D99:O99" si="55">$C$99*D20</f>
        <v>4.0752272727272727</v>
      </c>
      <c r="E99" s="16">
        <f t="shared" si="55"/>
        <v>43.469090909090909</v>
      </c>
      <c r="F99" s="16">
        <f t="shared" si="55"/>
        <v>86.938181818181818</v>
      </c>
      <c r="G99" s="16">
        <f t="shared" si="55"/>
        <v>217.34545454545454</v>
      </c>
      <c r="H99" s="16">
        <f t="shared" si="55"/>
        <v>434.69090909090909</v>
      </c>
      <c r="I99" s="16">
        <f t="shared" si="55"/>
        <v>652.0363636363636</v>
      </c>
      <c r="J99" s="16">
        <f t="shared" si="55"/>
        <v>869.38181818181818</v>
      </c>
      <c r="K99" s="16">
        <f t="shared" si="55"/>
        <v>1195.4000000000001</v>
      </c>
      <c r="L99" s="16">
        <f t="shared" si="55"/>
        <v>1521.4181818181819</v>
      </c>
      <c r="M99" s="16">
        <f t="shared" si="55"/>
        <v>1956.109090909091</v>
      </c>
      <c r="N99" s="16">
        <f t="shared" si="55"/>
        <v>2499.4727272727273</v>
      </c>
      <c r="O99" s="16">
        <f t="shared" si="55"/>
        <v>3260.181818181818</v>
      </c>
      <c r="T99"/>
      <c r="U99"/>
    </row>
    <row r="100" spans="1:21" x14ac:dyDescent="0.25">
      <c r="A100" s="7" t="s">
        <v>7</v>
      </c>
      <c r="B100" s="7" t="s">
        <v>39</v>
      </c>
      <c r="C100" s="47">
        <v>3600.0008440447891</v>
      </c>
      <c r="D100" s="16">
        <f t="shared" ref="D100:O100" si="56">D21*$C$100*1000/1000000</f>
        <v>1060.0822157566317</v>
      </c>
      <c r="E100" s="16">
        <f t="shared" si="56"/>
        <v>1582.3409001255136</v>
      </c>
      <c r="F100" s="16">
        <f t="shared" si="56"/>
        <v>2144.0525965840679</v>
      </c>
      <c r="G100" s="16">
        <f t="shared" si="56"/>
        <v>2732.2914635902193</v>
      </c>
      <c r="H100" s="16">
        <f t="shared" si="56"/>
        <v>3534.3920130133142</v>
      </c>
      <c r="I100" s="16">
        <f t="shared" si="56"/>
        <v>4593.2406783336264</v>
      </c>
      <c r="J100" s="16">
        <f t="shared" si="56"/>
        <v>5863.612140967959</v>
      </c>
      <c r="K100" s="16">
        <f t="shared" si="56"/>
        <v>7430.7248947693288</v>
      </c>
      <c r="L100" s="16">
        <f t="shared" si="56"/>
        <v>9227.1364742707938</v>
      </c>
      <c r="M100" s="16">
        <f t="shared" si="56"/>
        <v>11256.966035834977</v>
      </c>
      <c r="N100" s="16">
        <f t="shared" si="56"/>
        <v>13524.028592034316</v>
      </c>
      <c r="O100" s="16">
        <f t="shared" si="56"/>
        <v>15745.560805143792</v>
      </c>
      <c r="T100"/>
      <c r="U100"/>
    </row>
    <row r="101" spans="1:21" s="29" customFormat="1" x14ac:dyDescent="0.25">
      <c r="A101" s="2" t="s">
        <v>48</v>
      </c>
      <c r="B101" s="2" t="s">
        <v>38</v>
      </c>
      <c r="C101" s="20">
        <v>119.53784327565342</v>
      </c>
      <c r="D101" s="15">
        <f t="shared" ref="D101:J101" si="57">D102-(SUM(D91:D99)+D100*3.4)</f>
        <v>1548189.6455243051</v>
      </c>
      <c r="E101" s="15">
        <f t="shared" si="57"/>
        <v>1529617.6401309632</v>
      </c>
      <c r="F101" s="15">
        <f t="shared" si="57"/>
        <v>1513112.7385892719</v>
      </c>
      <c r="G101" s="15">
        <f t="shared" si="57"/>
        <v>1495781.5001127287</v>
      </c>
      <c r="H101" s="15">
        <f t="shared" si="57"/>
        <v>1477610.2892083316</v>
      </c>
      <c r="I101" s="15">
        <f t="shared" si="57"/>
        <v>1456500.8378371601</v>
      </c>
      <c r="J101" s="15">
        <f t="shared" si="57"/>
        <v>1432795.4253753386</v>
      </c>
      <c r="K101" s="15">
        <f t="shared" ref="K101:O101" si="58">K102-(SUM(K91:K99)+K100*3.4)</f>
        <v>1396412.799480384</v>
      </c>
      <c r="L101" s="15">
        <f t="shared" si="58"/>
        <v>1360692.5786701825</v>
      </c>
      <c r="M101" s="15">
        <f t="shared" si="58"/>
        <v>1326457.4566601093</v>
      </c>
      <c r="N101" s="15">
        <f t="shared" si="58"/>
        <v>1291651.4677674221</v>
      </c>
      <c r="O101" s="15">
        <f t="shared" si="58"/>
        <v>1257529.7186427168</v>
      </c>
      <c r="P101" s="45"/>
      <c r="Q101" s="45"/>
      <c r="R101" s="45"/>
      <c r="S101" s="45"/>
    </row>
    <row r="102" spans="1:21" x14ac:dyDescent="0.25">
      <c r="A102" s="2" t="s">
        <v>34</v>
      </c>
      <c r="B102" s="2" t="s">
        <v>38</v>
      </c>
      <c r="C102" s="20">
        <v>115.81560575511939</v>
      </c>
      <c r="D102" s="15">
        <f t="shared" ref="D102:O102" si="59">D6*$C$102</f>
        <v>1675693.2002851504</v>
      </c>
      <c r="E102" s="15">
        <f t="shared" si="59"/>
        <v>1658936.2682822989</v>
      </c>
      <c r="F102" s="15">
        <f t="shared" si="59"/>
        <v>1642346.9055994758</v>
      </c>
      <c r="G102" s="15">
        <f t="shared" si="59"/>
        <v>1625923.436543481</v>
      </c>
      <c r="H102" s="15">
        <f t="shared" si="59"/>
        <v>1609664.2021780461</v>
      </c>
      <c r="I102" s="15">
        <f t="shared" si="59"/>
        <v>1593567.5601562655</v>
      </c>
      <c r="J102" s="15">
        <f t="shared" si="59"/>
        <v>1577631.8845547028</v>
      </c>
      <c r="K102" s="15">
        <f t="shared" si="59"/>
        <v>1553967.4062863823</v>
      </c>
      <c r="L102" s="15">
        <f t="shared" si="59"/>
        <v>1530657.8951920867</v>
      </c>
      <c r="M102" s="15">
        <f t="shared" si="59"/>
        <v>1507698.0267642054</v>
      </c>
      <c r="N102" s="15">
        <f t="shared" si="59"/>
        <v>1485082.5563627421</v>
      </c>
      <c r="O102" s="15">
        <f t="shared" si="59"/>
        <v>1462806.3180173009</v>
      </c>
      <c r="T102"/>
      <c r="U102"/>
    </row>
    <row r="103" spans="1:21" x14ac:dyDescent="0.25">
      <c r="A103" s="18"/>
      <c r="B103" s="18"/>
      <c r="C103" s="21"/>
      <c r="D103" s="19"/>
      <c r="E103" s="19"/>
      <c r="F103" s="19"/>
      <c r="G103" s="19"/>
      <c r="H103" s="19"/>
      <c r="I103" s="19"/>
      <c r="J103" s="19"/>
      <c r="K103" s="45"/>
      <c r="T103"/>
      <c r="U103"/>
    </row>
    <row r="104" spans="1:21" x14ac:dyDescent="0.25">
      <c r="A104" s="14"/>
      <c r="B104" s="14"/>
      <c r="C104" s="22"/>
      <c r="D104" s="1"/>
      <c r="E104" s="1"/>
      <c r="F104" s="1"/>
      <c r="G104" s="1"/>
      <c r="H104" s="1"/>
      <c r="I104" s="1"/>
      <c r="J104" s="1"/>
      <c r="K104" s="45"/>
      <c r="T104"/>
      <c r="U104"/>
    </row>
    <row r="105" spans="1:21" x14ac:dyDescent="0.25">
      <c r="A105" s="2" t="s">
        <v>78</v>
      </c>
      <c r="B105" s="2" t="s">
        <v>38</v>
      </c>
      <c r="C105" s="20">
        <v>126.13194319156545</v>
      </c>
      <c r="D105" s="15">
        <f t="shared" ref="D105:O105" si="60">D28*$C$105</f>
        <v>9081.4999097927121</v>
      </c>
      <c r="E105" s="15">
        <f t="shared" si="60"/>
        <v>12234.79848958185</v>
      </c>
      <c r="F105" s="15">
        <f t="shared" si="60"/>
        <v>16271.020671711944</v>
      </c>
      <c r="G105" s="15">
        <f t="shared" si="60"/>
        <v>20181.110910650474</v>
      </c>
      <c r="H105" s="15">
        <f t="shared" si="60"/>
        <v>22703.749774481781</v>
      </c>
      <c r="I105" s="15">
        <f t="shared" si="60"/>
        <v>22703.749774481781</v>
      </c>
      <c r="J105" s="15">
        <f t="shared" si="60"/>
        <v>22703.749774481781</v>
      </c>
      <c r="K105" s="15">
        <f t="shared" si="60"/>
        <v>23334.409490439608</v>
      </c>
      <c r="L105" s="15">
        <f t="shared" si="60"/>
        <v>23334.409490439608</v>
      </c>
      <c r="M105" s="15">
        <f t="shared" si="60"/>
        <v>23334.409490439608</v>
      </c>
      <c r="N105" s="15">
        <f t="shared" si="60"/>
        <v>23965.069206397435</v>
      </c>
      <c r="O105" s="15">
        <f t="shared" si="60"/>
        <v>23965.069206397435</v>
      </c>
      <c r="T105"/>
      <c r="U105"/>
    </row>
    <row r="106" spans="1:21" x14ac:dyDescent="0.25">
      <c r="A106" s="2" t="s">
        <v>8</v>
      </c>
      <c r="B106" s="2" t="s">
        <v>38</v>
      </c>
      <c r="C106" s="20">
        <v>129.65</v>
      </c>
      <c r="D106" s="15">
        <f t="shared" ref="D106:O106" si="61">$C$106*D29</f>
        <v>15558</v>
      </c>
      <c r="E106" s="15">
        <f t="shared" si="61"/>
        <v>23337</v>
      </c>
      <c r="F106" s="15">
        <f t="shared" si="61"/>
        <v>32412.5</v>
      </c>
      <c r="G106" s="15">
        <f t="shared" si="61"/>
        <v>38895</v>
      </c>
      <c r="H106" s="15">
        <f t="shared" si="61"/>
        <v>41488</v>
      </c>
      <c r="I106" s="15">
        <f t="shared" si="61"/>
        <v>46674</v>
      </c>
      <c r="J106" s="15">
        <f t="shared" si="61"/>
        <v>51860</v>
      </c>
      <c r="K106" s="15">
        <f t="shared" si="61"/>
        <v>64825</v>
      </c>
      <c r="L106" s="15">
        <f t="shared" si="61"/>
        <v>71307.5</v>
      </c>
      <c r="M106" s="15">
        <f t="shared" si="61"/>
        <v>77790</v>
      </c>
      <c r="N106" s="15">
        <f t="shared" si="61"/>
        <v>77790</v>
      </c>
      <c r="O106" s="15">
        <f t="shared" si="61"/>
        <v>77790</v>
      </c>
      <c r="T106"/>
      <c r="U106"/>
    </row>
    <row r="107" spans="1:21" x14ac:dyDescent="0.25">
      <c r="A107" s="2" t="s">
        <v>74</v>
      </c>
      <c r="B107" s="2" t="s">
        <v>38</v>
      </c>
      <c r="C107" s="20">
        <v>134.47</v>
      </c>
      <c r="D107" s="15">
        <f t="shared" ref="D107:O107" si="62">D30*$C$107</f>
        <v>9412.9</v>
      </c>
      <c r="E107" s="15">
        <f t="shared" si="62"/>
        <v>10757.6</v>
      </c>
      <c r="F107" s="15">
        <f t="shared" si="62"/>
        <v>10757.6</v>
      </c>
      <c r="G107" s="15">
        <f t="shared" si="62"/>
        <v>10757.6</v>
      </c>
      <c r="H107" s="15">
        <f t="shared" si="62"/>
        <v>10757.6</v>
      </c>
      <c r="I107" s="15">
        <f t="shared" si="62"/>
        <v>10757.6</v>
      </c>
      <c r="J107" s="15">
        <f t="shared" si="62"/>
        <v>8068.2</v>
      </c>
      <c r="K107" s="15">
        <f t="shared" si="62"/>
        <v>5378.8</v>
      </c>
      <c r="L107" s="15">
        <f t="shared" si="62"/>
        <v>5378.8</v>
      </c>
      <c r="M107" s="15">
        <f t="shared" si="62"/>
        <v>5378.8</v>
      </c>
      <c r="N107" s="15">
        <f t="shared" si="62"/>
        <v>5378.8</v>
      </c>
      <c r="O107" s="15">
        <f t="shared" si="62"/>
        <v>5378.8</v>
      </c>
      <c r="T107"/>
      <c r="U107"/>
    </row>
    <row r="108" spans="1:21" x14ac:dyDescent="0.25">
      <c r="A108" s="7" t="s">
        <v>72</v>
      </c>
      <c r="B108" s="2" t="s">
        <v>38</v>
      </c>
      <c r="C108" s="20">
        <v>134.47</v>
      </c>
      <c r="D108" s="16">
        <f t="shared" ref="D108:O108" si="63">D31*$C$108</f>
        <v>6723.5</v>
      </c>
      <c r="E108" s="16">
        <f t="shared" si="63"/>
        <v>8068.2</v>
      </c>
      <c r="F108" s="16">
        <f t="shared" si="63"/>
        <v>10757.6</v>
      </c>
      <c r="G108" s="16">
        <f t="shared" si="63"/>
        <v>13447</v>
      </c>
      <c r="H108" s="16">
        <f t="shared" si="63"/>
        <v>18825.8</v>
      </c>
      <c r="I108" s="16">
        <f t="shared" si="63"/>
        <v>24204.6</v>
      </c>
      <c r="J108" s="16">
        <f t="shared" si="63"/>
        <v>32272.799999999999</v>
      </c>
      <c r="K108" s="16">
        <f t="shared" si="63"/>
        <v>40341</v>
      </c>
      <c r="L108" s="16">
        <f t="shared" si="63"/>
        <v>45719.8</v>
      </c>
      <c r="M108" s="16">
        <f t="shared" si="63"/>
        <v>51098.6</v>
      </c>
      <c r="N108" s="16">
        <f t="shared" si="63"/>
        <v>56477.4</v>
      </c>
      <c r="O108" s="16">
        <f t="shared" si="63"/>
        <v>61856.2</v>
      </c>
      <c r="U108"/>
    </row>
    <row r="109" spans="1:21" x14ac:dyDescent="0.25">
      <c r="A109" s="2" t="s">
        <v>9</v>
      </c>
      <c r="B109" s="2" t="s">
        <v>39</v>
      </c>
      <c r="C109" s="23">
        <v>3600.0008440447891</v>
      </c>
      <c r="D109" s="15">
        <f t="shared" ref="D109:O109" si="64">D32*$C$109*1000/10^6</f>
        <v>0</v>
      </c>
      <c r="E109" s="15">
        <f t="shared" si="64"/>
        <v>0</v>
      </c>
      <c r="F109" s="15">
        <f t="shared" si="64"/>
        <v>3240.0007596403102</v>
      </c>
      <c r="G109" s="15">
        <f t="shared" si="64"/>
        <v>3240.0007596403102</v>
      </c>
      <c r="H109" s="15">
        <f t="shared" si="64"/>
        <v>3240.0007596403102</v>
      </c>
      <c r="I109" s="15">
        <f t="shared" si="64"/>
        <v>3240.0007596403102</v>
      </c>
      <c r="J109" s="15">
        <f t="shared" si="64"/>
        <v>3240.0007596403102</v>
      </c>
      <c r="K109" s="15">
        <f t="shared" si="64"/>
        <v>3240.0007596403102</v>
      </c>
      <c r="L109" s="15">
        <f t="shared" si="64"/>
        <v>3240.0007596403102</v>
      </c>
      <c r="M109" s="15">
        <f t="shared" si="64"/>
        <v>3240.0007596403102</v>
      </c>
      <c r="N109" s="15">
        <f t="shared" si="64"/>
        <v>3240.0007596403102</v>
      </c>
      <c r="O109" s="15">
        <f t="shared" si="64"/>
        <v>3240.0007596403102</v>
      </c>
      <c r="R109"/>
      <c r="S109"/>
      <c r="T109"/>
      <c r="U109"/>
    </row>
    <row r="110" spans="1:21" x14ac:dyDescent="0.25">
      <c r="A110" s="66" t="s">
        <v>50</v>
      </c>
      <c r="B110" s="66" t="s">
        <v>38</v>
      </c>
      <c r="C110" s="67">
        <v>134.47</v>
      </c>
      <c r="D110" s="49">
        <f t="shared" ref="D110:O110" si="65">D7*$C$110</f>
        <v>501862.88284999994</v>
      </c>
      <c r="E110" s="49">
        <f t="shared" si="65"/>
        <v>509390.82609274989</v>
      </c>
      <c r="F110" s="49">
        <f t="shared" si="65"/>
        <v>517031.68848414108</v>
      </c>
      <c r="G110" s="49">
        <f t="shared" si="65"/>
        <v>524787.16381140321</v>
      </c>
      <c r="H110" s="49">
        <f t="shared" si="65"/>
        <v>532658.97126857413</v>
      </c>
      <c r="I110" s="49">
        <f t="shared" si="65"/>
        <v>540648.85583760263</v>
      </c>
      <c r="J110" s="49">
        <f t="shared" si="65"/>
        <v>548758.58867516671</v>
      </c>
      <c r="K110" s="49">
        <f t="shared" si="65"/>
        <v>556989.96750529413</v>
      </c>
      <c r="L110" s="49">
        <f t="shared" si="65"/>
        <v>565344.81701787352</v>
      </c>
      <c r="M110" s="49">
        <f t="shared" si="65"/>
        <v>573824.98927314149</v>
      </c>
      <c r="N110" s="49">
        <f t="shared" si="65"/>
        <v>582432.36411223863</v>
      </c>
      <c r="O110" s="49">
        <f t="shared" si="65"/>
        <v>591168.84957392211</v>
      </c>
      <c r="Q110"/>
      <c r="R110"/>
      <c r="S110"/>
      <c r="T110"/>
      <c r="U110"/>
    </row>
    <row r="111" spans="1:21" x14ac:dyDescent="0.25">
      <c r="A111" s="66" t="s">
        <v>49</v>
      </c>
      <c r="B111" s="66" t="s">
        <v>38</v>
      </c>
      <c r="C111" s="67">
        <v>134.47</v>
      </c>
      <c r="D111" s="49">
        <f t="shared" ref="D111:O111" si="66">D110-SUM(D105:D109)</f>
        <v>461086.98294020724</v>
      </c>
      <c r="E111" s="49">
        <f t="shared" si="66"/>
        <v>454993.22760316805</v>
      </c>
      <c r="F111" s="49">
        <f t="shared" si="66"/>
        <v>443592.96705278882</v>
      </c>
      <c r="G111" s="49">
        <f t="shared" si="66"/>
        <v>438266.45214111242</v>
      </c>
      <c r="H111" s="49">
        <f t="shared" si="66"/>
        <v>435643.82073445199</v>
      </c>
      <c r="I111" s="49">
        <f t="shared" si="66"/>
        <v>433068.90530348051</v>
      </c>
      <c r="J111" s="49">
        <f t="shared" si="66"/>
        <v>430613.8381410446</v>
      </c>
      <c r="K111" s="49">
        <f t="shared" si="66"/>
        <v>419870.75725521421</v>
      </c>
      <c r="L111" s="49">
        <f t="shared" si="66"/>
        <v>416364.30676779361</v>
      </c>
      <c r="M111" s="49">
        <f t="shared" si="66"/>
        <v>412983.17902306159</v>
      </c>
      <c r="N111" s="49">
        <f t="shared" si="66"/>
        <v>415581.09414620092</v>
      </c>
      <c r="O111" s="49">
        <f t="shared" si="66"/>
        <v>418938.77960788435</v>
      </c>
      <c r="Q111"/>
      <c r="R111"/>
      <c r="S111"/>
      <c r="T111"/>
      <c r="U111"/>
    </row>
    <row r="112" spans="1:21" x14ac:dyDescent="0.25">
      <c r="A112" s="69"/>
      <c r="B112" s="70"/>
      <c r="C112" s="74"/>
      <c r="D112" s="74"/>
      <c r="E112" s="74"/>
      <c r="F112" s="74"/>
      <c r="G112" s="74"/>
      <c r="H112" s="74"/>
      <c r="I112" s="74"/>
      <c r="J112" s="74"/>
      <c r="K112" s="74"/>
      <c r="N112"/>
      <c r="O112"/>
      <c r="P112"/>
      <c r="Q112"/>
      <c r="R112"/>
      <c r="S112"/>
      <c r="T112"/>
      <c r="U112"/>
    </row>
    <row r="113" spans="1:21" x14ac:dyDescent="0.25">
      <c r="A113" s="34" t="s">
        <v>63</v>
      </c>
      <c r="C113" s="33"/>
      <c r="M113"/>
      <c r="N113"/>
      <c r="O113"/>
      <c r="P113"/>
      <c r="Q113"/>
      <c r="R113"/>
      <c r="S113"/>
      <c r="T113"/>
      <c r="U113"/>
    </row>
    <row r="114" spans="1:21" x14ac:dyDescent="0.25">
      <c r="A114" s="152" t="s">
        <v>21</v>
      </c>
      <c r="B114" s="152"/>
      <c r="C114" s="152" t="s">
        <v>22</v>
      </c>
      <c r="D114" s="152"/>
      <c r="L114"/>
      <c r="M114"/>
      <c r="N114"/>
      <c r="O114"/>
      <c r="P114"/>
      <c r="Q114"/>
      <c r="R114"/>
      <c r="S114"/>
      <c r="T114"/>
      <c r="U114"/>
    </row>
    <row r="115" spans="1:21" ht="30" x14ac:dyDescent="0.25">
      <c r="A115" s="2" t="s">
        <v>14</v>
      </c>
      <c r="B115" s="8" t="s">
        <v>15</v>
      </c>
      <c r="C115" s="2" t="s">
        <v>14</v>
      </c>
      <c r="D115" s="8" t="s">
        <v>16</v>
      </c>
      <c r="L115"/>
      <c r="M115"/>
      <c r="N115"/>
      <c r="O115"/>
      <c r="P115"/>
      <c r="Q115"/>
      <c r="R115"/>
      <c r="S115"/>
      <c r="T115"/>
      <c r="U115"/>
    </row>
    <row r="116" spans="1:21" x14ac:dyDescent="0.25">
      <c r="A116" s="5" t="s">
        <v>17</v>
      </c>
      <c r="B116" s="9">
        <v>1</v>
      </c>
      <c r="C116" s="5" t="s">
        <v>98</v>
      </c>
      <c r="D116" s="9">
        <v>1</v>
      </c>
      <c r="L116"/>
      <c r="M116"/>
      <c r="N116"/>
      <c r="O116"/>
      <c r="P116"/>
      <c r="Q116"/>
      <c r="R116"/>
      <c r="S116"/>
      <c r="T116"/>
      <c r="U116"/>
    </row>
    <row r="117" spans="1:21" x14ac:dyDescent="0.25">
      <c r="A117" s="5" t="s">
        <v>18</v>
      </c>
      <c r="B117" s="9">
        <v>1</v>
      </c>
      <c r="C117" s="5" t="s">
        <v>24</v>
      </c>
      <c r="D117" s="115">
        <v>1</v>
      </c>
      <c r="L117"/>
      <c r="M117"/>
      <c r="N117"/>
      <c r="O117"/>
      <c r="P117"/>
      <c r="Q117"/>
      <c r="R117"/>
      <c r="S117"/>
      <c r="T117"/>
      <c r="U117"/>
    </row>
    <row r="118" spans="1:21" x14ac:dyDescent="0.25">
      <c r="A118" s="5" t="s">
        <v>97</v>
      </c>
      <c r="B118" s="9">
        <v>3.4</v>
      </c>
      <c r="C118" s="5" t="s">
        <v>97</v>
      </c>
      <c r="D118" s="9">
        <v>3</v>
      </c>
      <c r="L118"/>
      <c r="M118"/>
      <c r="N118"/>
      <c r="O118"/>
      <c r="P118"/>
      <c r="Q118"/>
      <c r="R118"/>
      <c r="S118"/>
      <c r="T118"/>
      <c r="U118"/>
    </row>
    <row r="119" spans="1:21" x14ac:dyDescent="0.25">
      <c r="A119" s="5" t="s">
        <v>20</v>
      </c>
      <c r="B119" s="9">
        <v>2.5</v>
      </c>
      <c r="C119" s="5" t="s">
        <v>20</v>
      </c>
      <c r="D119" s="9">
        <v>1.9</v>
      </c>
      <c r="L119"/>
      <c r="M119"/>
      <c r="N119"/>
      <c r="O119"/>
      <c r="P119"/>
      <c r="Q119"/>
      <c r="R119"/>
      <c r="S119"/>
      <c r="T119"/>
      <c r="U119"/>
    </row>
    <row r="120" spans="1:21" x14ac:dyDescent="0.25">
      <c r="L120"/>
      <c r="M120"/>
      <c r="N120"/>
      <c r="O120"/>
      <c r="P120"/>
      <c r="Q120"/>
      <c r="R120"/>
      <c r="S120"/>
      <c r="T120"/>
      <c r="U120"/>
    </row>
    <row r="121" spans="1:21" x14ac:dyDescent="0.25">
      <c r="L121"/>
      <c r="M121"/>
      <c r="N121"/>
      <c r="O121"/>
      <c r="P121"/>
      <c r="Q121"/>
      <c r="R121"/>
      <c r="S121"/>
      <c r="T121"/>
      <c r="U121"/>
    </row>
    <row r="122" spans="1:21" x14ac:dyDescent="0.25">
      <c r="L122"/>
      <c r="M122"/>
      <c r="N122"/>
      <c r="O122"/>
      <c r="P122"/>
      <c r="Q122"/>
      <c r="R122"/>
      <c r="S122"/>
      <c r="T122"/>
      <c r="U122"/>
    </row>
    <row r="123" spans="1:21" x14ac:dyDescent="0.25">
      <c r="L123"/>
      <c r="M123"/>
      <c r="N123"/>
      <c r="O123"/>
      <c r="P123"/>
      <c r="Q123"/>
      <c r="R123"/>
      <c r="S123"/>
      <c r="T123"/>
      <c r="U123"/>
    </row>
    <row r="124" spans="1:21" x14ac:dyDescent="0.25">
      <c r="L124"/>
      <c r="M124"/>
      <c r="N124"/>
      <c r="O124"/>
      <c r="P124"/>
      <c r="Q124"/>
      <c r="R124"/>
      <c r="S124"/>
      <c r="T124"/>
      <c r="U124"/>
    </row>
    <row r="125" spans="1:21" x14ac:dyDescent="0.25">
      <c r="L125"/>
      <c r="M125"/>
      <c r="N125"/>
      <c r="O125"/>
      <c r="P125"/>
      <c r="Q125"/>
      <c r="R125"/>
      <c r="S125"/>
      <c r="T125"/>
      <c r="U125"/>
    </row>
    <row r="126" spans="1:21" x14ac:dyDescent="0.25">
      <c r="L126"/>
      <c r="M126"/>
      <c r="N126"/>
      <c r="O126"/>
      <c r="P126"/>
      <c r="Q126"/>
      <c r="R126"/>
      <c r="S126"/>
      <c r="T126"/>
      <c r="U126"/>
    </row>
    <row r="127" spans="1:21" x14ac:dyDescent="0.25">
      <c r="L127"/>
      <c r="M127"/>
      <c r="N127"/>
      <c r="O127"/>
      <c r="P127"/>
      <c r="Q127"/>
      <c r="R127"/>
      <c r="S127"/>
      <c r="T127"/>
      <c r="U127"/>
    </row>
    <row r="128" spans="1:21" x14ac:dyDescent="0.25">
      <c r="L128"/>
      <c r="M128"/>
      <c r="N128"/>
      <c r="O128"/>
      <c r="P128"/>
      <c r="Q128"/>
      <c r="R128"/>
      <c r="S128"/>
      <c r="T128"/>
      <c r="U128"/>
    </row>
    <row r="129" spans="12:21" x14ac:dyDescent="0.25">
      <c r="L129"/>
      <c r="M129"/>
      <c r="N129"/>
      <c r="O129"/>
      <c r="P129"/>
      <c r="Q129"/>
      <c r="R129"/>
      <c r="S129"/>
      <c r="T129"/>
      <c r="U129"/>
    </row>
    <row r="130" spans="12:21" x14ac:dyDescent="0.25">
      <c r="L130"/>
      <c r="M130"/>
      <c r="N130"/>
      <c r="O130"/>
      <c r="P130"/>
      <c r="Q130"/>
      <c r="R130"/>
      <c r="S130"/>
      <c r="T130"/>
      <c r="U130"/>
    </row>
    <row r="131" spans="12:21" x14ac:dyDescent="0.25">
      <c r="L131"/>
      <c r="M131"/>
      <c r="N131"/>
      <c r="O131"/>
      <c r="P131"/>
      <c r="Q131"/>
      <c r="R131"/>
      <c r="S131"/>
      <c r="T131"/>
      <c r="U131"/>
    </row>
    <row r="132" spans="12:21" x14ac:dyDescent="0.25">
      <c r="L132"/>
      <c r="M132"/>
      <c r="N132"/>
      <c r="O132"/>
      <c r="P132"/>
      <c r="Q132"/>
      <c r="R132"/>
      <c r="S132"/>
      <c r="T132"/>
      <c r="U132"/>
    </row>
    <row r="133" spans="12:21" x14ac:dyDescent="0.25">
      <c r="L133"/>
      <c r="M133"/>
      <c r="N133"/>
      <c r="O133"/>
      <c r="P133"/>
      <c r="Q133"/>
      <c r="R133"/>
      <c r="S133"/>
      <c r="T133"/>
      <c r="U133"/>
    </row>
    <row r="134" spans="12:21" x14ac:dyDescent="0.25">
      <c r="L134"/>
      <c r="M134"/>
      <c r="N134"/>
      <c r="O134"/>
      <c r="P134"/>
      <c r="Q134"/>
      <c r="R134"/>
      <c r="S134"/>
      <c r="T134"/>
      <c r="U134"/>
    </row>
    <row r="135" spans="12:21" x14ac:dyDescent="0.25">
      <c r="L135"/>
      <c r="M135"/>
      <c r="N135"/>
      <c r="O135"/>
      <c r="P135"/>
      <c r="Q135"/>
      <c r="R135"/>
      <c r="S135"/>
      <c r="T135"/>
      <c r="U135"/>
    </row>
    <row r="136" spans="12:21" x14ac:dyDescent="0.25">
      <c r="L136"/>
      <c r="M136"/>
      <c r="N136"/>
      <c r="O136"/>
      <c r="P136"/>
      <c r="Q136"/>
      <c r="R136"/>
      <c r="S136"/>
      <c r="T136"/>
      <c r="U136"/>
    </row>
    <row r="137" spans="12:21" x14ac:dyDescent="0.25">
      <c r="L137"/>
      <c r="M137"/>
      <c r="N137"/>
      <c r="O137"/>
      <c r="P137"/>
      <c r="Q137"/>
      <c r="R137"/>
      <c r="S137"/>
      <c r="T137"/>
      <c r="U137"/>
    </row>
    <row r="138" spans="12:21" x14ac:dyDescent="0.25">
      <c r="L138"/>
      <c r="M138"/>
      <c r="N138"/>
      <c r="O138"/>
      <c r="P138"/>
      <c r="Q138"/>
      <c r="R138"/>
      <c r="S138"/>
      <c r="T138"/>
      <c r="U138"/>
    </row>
    <row r="139" spans="12:21" x14ac:dyDescent="0.25">
      <c r="L139"/>
      <c r="M139"/>
      <c r="N139"/>
      <c r="O139"/>
      <c r="P139"/>
      <c r="Q139"/>
      <c r="R139"/>
      <c r="S139"/>
      <c r="T139"/>
      <c r="U139"/>
    </row>
    <row r="140" spans="12:21" x14ac:dyDescent="0.25">
      <c r="L140"/>
      <c r="M140"/>
      <c r="N140"/>
      <c r="O140"/>
      <c r="P140"/>
      <c r="Q140"/>
      <c r="R140"/>
    </row>
    <row r="141" spans="12:21" x14ac:dyDescent="0.25">
      <c r="L141"/>
      <c r="M141"/>
    </row>
    <row r="142" spans="12:21" x14ac:dyDescent="0.25">
      <c r="L142"/>
      <c r="M142"/>
    </row>
    <row r="143" spans="12:21" x14ac:dyDescent="0.25">
      <c r="L143"/>
      <c r="M143"/>
    </row>
    <row r="144" spans="12:21" x14ac:dyDescent="0.25">
      <c r="L144"/>
    </row>
  </sheetData>
  <mergeCells count="6">
    <mergeCell ref="A11:B11"/>
    <mergeCell ref="A114:B114"/>
    <mergeCell ref="C114:D114"/>
    <mergeCell ref="C60:O60"/>
    <mergeCell ref="C40:O40"/>
    <mergeCell ref="D89:P89"/>
  </mergeCells>
  <pageMargins left="0.25" right="0.25" top="0.75" bottom="0.75" header="0.3" footer="0.3"/>
  <pageSetup scale="3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9"/>
  <sheetViews>
    <sheetView topLeftCell="A73" zoomScale="80" zoomScaleNormal="80" workbookViewId="0">
      <pane xSplit="1" topLeftCell="B1" activePane="topRight" state="frozenSplit"/>
      <selection pane="topRight"/>
    </sheetView>
  </sheetViews>
  <sheetFormatPr defaultRowHeight="15" x14ac:dyDescent="0.25"/>
  <cols>
    <col min="1" max="1" width="24.85546875" customWidth="1"/>
    <col min="2" max="2" width="18.85546875" customWidth="1"/>
    <col min="3" max="3" width="12.5703125" customWidth="1"/>
    <col min="4" max="10" width="11.7109375" customWidth="1"/>
    <col min="11" max="11" width="11.28515625" customWidth="1"/>
    <col min="12" max="16" width="11" style="45" customWidth="1"/>
    <col min="17" max="21" width="9.140625" style="45"/>
  </cols>
  <sheetData>
    <row r="1" spans="1:21" ht="58.5" customHeight="1" x14ac:dyDescent="0.35">
      <c r="A1" s="144">
        <v>42095</v>
      </c>
      <c r="B1" s="154" t="s">
        <v>101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R1"/>
      <c r="S1"/>
      <c r="T1"/>
      <c r="U1"/>
    </row>
    <row r="2" spans="1:21" x14ac:dyDescent="0.25">
      <c r="B2" s="4" t="s">
        <v>2</v>
      </c>
      <c r="C2" s="4"/>
      <c r="D2" s="4">
        <v>2014</v>
      </c>
      <c r="E2" s="4">
        <v>2015</v>
      </c>
      <c r="F2" s="4">
        <v>2016</v>
      </c>
      <c r="G2" s="4">
        <v>2017</v>
      </c>
      <c r="H2" s="4">
        <v>2018</v>
      </c>
      <c r="I2" s="4">
        <v>2019</v>
      </c>
      <c r="J2" s="4">
        <v>2020</v>
      </c>
      <c r="K2" s="4">
        <v>2021</v>
      </c>
      <c r="L2" s="4">
        <v>2022</v>
      </c>
      <c r="M2" s="4">
        <v>2023</v>
      </c>
      <c r="N2" s="4">
        <v>2024</v>
      </c>
      <c r="O2" s="4">
        <v>2025</v>
      </c>
      <c r="Q2"/>
      <c r="U2"/>
    </row>
    <row r="3" spans="1:21" x14ac:dyDescent="0.25">
      <c r="A3" s="48"/>
      <c r="B3" s="48" t="s">
        <v>65</v>
      </c>
      <c r="C3" s="133">
        <v>99.11</v>
      </c>
      <c r="D3" s="91">
        <v>97.96</v>
      </c>
      <c r="E3" s="91">
        <v>97.96</v>
      </c>
      <c r="F3" s="133">
        <f>(1-F5)*($C$3)</f>
        <v>97.127799999999993</v>
      </c>
      <c r="G3" s="133">
        <f t="shared" ref="G3:O3" si="0">(1-G5)*($C$3)</f>
        <v>95.641149999999996</v>
      </c>
      <c r="H3" s="133">
        <f t="shared" si="0"/>
        <v>94.154499999999999</v>
      </c>
      <c r="I3" s="133">
        <f t="shared" si="0"/>
        <v>91.676749999999998</v>
      </c>
      <c r="J3" s="133">
        <f t="shared" si="0"/>
        <v>89.198999999999998</v>
      </c>
      <c r="K3" s="133">
        <f t="shared" si="0"/>
        <v>89.198999999999998</v>
      </c>
      <c r="L3" s="133">
        <f t="shared" si="0"/>
        <v>89.198999999999998</v>
      </c>
      <c r="M3" s="133">
        <f t="shared" si="0"/>
        <v>89.198999999999998</v>
      </c>
      <c r="N3" s="133">
        <f t="shared" si="0"/>
        <v>89.198999999999998</v>
      </c>
      <c r="O3" s="133">
        <f t="shared" si="0"/>
        <v>89.198999999999998</v>
      </c>
      <c r="Q3"/>
      <c r="U3"/>
    </row>
    <row r="4" spans="1:21" ht="15.75" thickBot="1" x14ac:dyDescent="0.3">
      <c r="A4" s="48"/>
      <c r="B4" s="48" t="s">
        <v>66</v>
      </c>
      <c r="C4" s="133">
        <v>102.76</v>
      </c>
      <c r="D4" s="91">
        <v>97.05</v>
      </c>
      <c r="E4" s="91">
        <v>97.05</v>
      </c>
      <c r="F4" s="133">
        <f t="shared" ref="F4:O4" si="1">(1-F5)*($C$4)</f>
        <v>100.70480000000001</v>
      </c>
      <c r="G4" s="133">
        <f t="shared" si="1"/>
        <v>99.163399999999996</v>
      </c>
      <c r="H4" s="133">
        <f t="shared" si="1"/>
        <v>97.622</v>
      </c>
      <c r="I4" s="133">
        <f t="shared" si="1"/>
        <v>95.053000000000011</v>
      </c>
      <c r="J4" s="133">
        <f t="shared" si="1"/>
        <v>92.484000000000009</v>
      </c>
      <c r="K4" s="133">
        <f t="shared" si="1"/>
        <v>92.484000000000009</v>
      </c>
      <c r="L4" s="133">
        <f t="shared" si="1"/>
        <v>92.484000000000009</v>
      </c>
      <c r="M4" s="133">
        <f t="shared" si="1"/>
        <v>92.484000000000009</v>
      </c>
      <c r="N4" s="133">
        <f t="shared" si="1"/>
        <v>92.484000000000009</v>
      </c>
      <c r="O4" s="133">
        <f t="shared" si="1"/>
        <v>92.484000000000009</v>
      </c>
      <c r="Q4"/>
      <c r="U4"/>
    </row>
    <row r="5" spans="1:21" ht="15.75" thickBot="1" x14ac:dyDescent="0.3">
      <c r="A5" s="48"/>
      <c r="C5" s="2" t="s">
        <v>3</v>
      </c>
      <c r="D5" s="53">
        <v>0.01</v>
      </c>
      <c r="E5" s="93">
        <v>0.01</v>
      </c>
      <c r="F5" s="101">
        <v>0.02</v>
      </c>
      <c r="G5" s="102">
        <v>3.5000000000000003E-2</v>
      </c>
      <c r="H5" s="102">
        <v>0.05</v>
      </c>
      <c r="I5" s="102">
        <v>7.4999999999999997E-2</v>
      </c>
      <c r="J5" s="102">
        <v>0.1</v>
      </c>
      <c r="K5" s="102">
        <v>0.1</v>
      </c>
      <c r="L5" s="102">
        <v>0.1</v>
      </c>
      <c r="M5" s="102">
        <v>0.1</v>
      </c>
      <c r="N5" s="102">
        <v>0.1</v>
      </c>
      <c r="O5" s="103">
        <v>0.1</v>
      </c>
      <c r="U5"/>
    </row>
    <row r="6" spans="1:21" x14ac:dyDescent="0.25">
      <c r="A6" s="30"/>
      <c r="B6" s="30"/>
      <c r="C6" s="68" t="s">
        <v>0</v>
      </c>
      <c r="D6" s="50">
        <v>14433.377600708278</v>
      </c>
      <c r="E6" s="50">
        <v>14323.944147820243</v>
      </c>
      <c r="F6" s="95">
        <v>14180.70470634204</v>
      </c>
      <c r="G6" s="95">
        <v>14038.897659278618</v>
      </c>
      <c r="H6" s="95">
        <v>13898.508682685831</v>
      </c>
      <c r="I6" s="95">
        <v>13759.523595858973</v>
      </c>
      <c r="J6" s="95">
        <v>13621.928359900383</v>
      </c>
      <c r="K6" s="95">
        <v>13417.599434501877</v>
      </c>
      <c r="L6" s="95">
        <v>13216.335442984349</v>
      </c>
      <c r="M6" s="95">
        <v>13018.090411339585</v>
      </c>
      <c r="N6" s="95">
        <v>12822.81905516949</v>
      </c>
      <c r="O6" s="95">
        <v>12630.476769341947</v>
      </c>
      <c r="U6"/>
    </row>
    <row r="7" spans="1:21" x14ac:dyDescent="0.25">
      <c r="A7" s="30"/>
      <c r="B7" s="30"/>
      <c r="C7" s="44" t="s">
        <v>1</v>
      </c>
      <c r="D7" s="50">
        <v>3786.7</v>
      </c>
      <c r="E7" s="50">
        <v>3788.1373249999992</v>
      </c>
      <c r="F7" s="50">
        <v>3844.9593848749987</v>
      </c>
      <c r="G7" s="50">
        <v>3902.6337756481234</v>
      </c>
      <c r="H7" s="50">
        <v>3961.1732822828449</v>
      </c>
      <c r="I7" s="50">
        <v>4020.5908815170869</v>
      </c>
      <c r="J7" s="50">
        <v>4080.8997447398428</v>
      </c>
      <c r="K7" s="50">
        <v>4142.1132409109405</v>
      </c>
      <c r="L7" s="50">
        <v>4204.244939524604</v>
      </c>
      <c r="M7" s="50">
        <v>4267.3086136174725</v>
      </c>
      <c r="N7" s="50">
        <v>4331.3182428217342</v>
      </c>
      <c r="O7" s="50">
        <v>4396.2880164640601</v>
      </c>
      <c r="U7"/>
    </row>
    <row r="8" spans="1:21" x14ac:dyDescent="0.25">
      <c r="C8" s="44" t="s">
        <v>58</v>
      </c>
      <c r="D8" s="92">
        <v>0.29399999999999998</v>
      </c>
      <c r="E8" s="92">
        <v>0.43953903587080023</v>
      </c>
      <c r="F8" s="92">
        <v>1.4955700260823033</v>
      </c>
      <c r="G8" s="92">
        <v>1.658969673051617</v>
      </c>
      <c r="H8" s="92">
        <v>1.881775328986379</v>
      </c>
      <c r="I8" s="92">
        <v>2.1758998892824928</v>
      </c>
      <c r="J8" s="92">
        <v>2.528780768390011</v>
      </c>
      <c r="K8" s="92">
        <v>2.9640897646069777</v>
      </c>
      <c r="L8" s="92">
        <v>3.4630928641404495</v>
      </c>
      <c r="M8" s="92">
        <v>4.026934276822888</v>
      </c>
      <c r="N8" s="92">
        <v>4.6566737281203965</v>
      </c>
      <c r="O8" s="92">
        <v>5.2737658648581958</v>
      </c>
      <c r="U8"/>
    </row>
    <row r="9" spans="1:21" x14ac:dyDescent="0.25">
      <c r="A9" s="133" t="s">
        <v>100</v>
      </c>
      <c r="B9" s="133"/>
      <c r="C9" s="133" t="s">
        <v>80</v>
      </c>
      <c r="D9" s="146">
        <f t="shared" ref="D9:O9" si="2">D90</f>
        <v>4.7621510553818487</v>
      </c>
      <c r="E9" s="146">
        <f t="shared" si="2"/>
        <v>8.157514486559629</v>
      </c>
      <c r="F9" s="146">
        <f t="shared" si="2"/>
        <v>11.359778936794445</v>
      </c>
      <c r="G9" s="146">
        <f t="shared" si="2"/>
        <v>13.23187844950834</v>
      </c>
      <c r="H9" s="146">
        <f t="shared" si="2"/>
        <v>13.769571117605361</v>
      </c>
      <c r="I9" s="146">
        <f t="shared" si="2"/>
        <v>10.731838132650985</v>
      </c>
      <c r="J9" s="146">
        <f t="shared" si="2"/>
        <v>4.4817159993402926</v>
      </c>
      <c r="K9" s="146">
        <f t="shared" si="2"/>
        <v>1.5545527575712068</v>
      </c>
      <c r="L9" s="146">
        <f t="shared" si="2"/>
        <v>1.0885696594506604</v>
      </c>
      <c r="M9" s="146">
        <f t="shared" si="2"/>
        <v>3.0722041480091731</v>
      </c>
      <c r="N9" s="146">
        <f t="shared" si="2"/>
        <v>7.1523892302044727</v>
      </c>
      <c r="O9" s="146">
        <f t="shared" si="2"/>
        <v>13.268490868101448</v>
      </c>
      <c r="P9" s="97"/>
    </row>
    <row r="10" spans="1:21" ht="15.75" x14ac:dyDescent="0.25">
      <c r="A10" s="151" t="s">
        <v>99</v>
      </c>
      <c r="B10" s="151"/>
      <c r="C10" s="151"/>
      <c r="D10" s="150">
        <v>5.5360950415297712</v>
      </c>
      <c r="E10" s="150">
        <v>9.1887265866964469</v>
      </c>
      <c r="F10" s="150">
        <v>12.588295464144013</v>
      </c>
      <c r="G10" s="150">
        <v>14.68607464758702</v>
      </c>
      <c r="H10" s="150">
        <v>15.412944193378928</v>
      </c>
      <c r="I10" s="150">
        <v>12.500601121014231</v>
      </c>
      <c r="J10" s="150">
        <v>6.2334759848385648</v>
      </c>
      <c r="K10" s="150">
        <v>3.1667220677028611</v>
      </c>
      <c r="L10" s="150">
        <v>2.4721501506043069</v>
      </c>
      <c r="M10" s="150">
        <v>4.136649573302936</v>
      </c>
      <c r="N10" s="150">
        <v>7.8370106820958574</v>
      </c>
      <c r="O10" s="150">
        <v>13.504021386306658</v>
      </c>
      <c r="P10" s="37"/>
    </row>
    <row r="11" spans="1:21" ht="24.75" customHeight="1" x14ac:dyDescent="0.25">
      <c r="A11" s="75"/>
      <c r="B11" s="76"/>
      <c r="C11" s="12" t="s">
        <v>57</v>
      </c>
      <c r="D11" s="51" t="s">
        <v>62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U11"/>
    </row>
    <row r="12" spans="1:21" ht="15" customHeight="1" x14ac:dyDescent="0.25">
      <c r="A12" s="152" t="s">
        <v>30</v>
      </c>
      <c r="B12" s="153"/>
      <c r="C12" s="112" t="s">
        <v>25</v>
      </c>
      <c r="D12" s="58">
        <v>2014</v>
      </c>
      <c r="E12" s="58">
        <v>2015</v>
      </c>
      <c r="F12" s="58">
        <v>2016</v>
      </c>
      <c r="G12" s="58">
        <v>2017</v>
      </c>
      <c r="H12" s="58">
        <v>2018</v>
      </c>
      <c r="I12" s="58">
        <v>2019</v>
      </c>
      <c r="J12" s="58">
        <v>2020</v>
      </c>
      <c r="K12" s="58">
        <v>2021</v>
      </c>
      <c r="L12" s="58">
        <v>2022</v>
      </c>
      <c r="M12" s="58">
        <v>2023</v>
      </c>
      <c r="N12" s="58">
        <v>2024</v>
      </c>
      <c r="O12" s="58">
        <v>2025</v>
      </c>
      <c r="U12"/>
    </row>
    <row r="13" spans="1:21" x14ac:dyDescent="0.25">
      <c r="A13" s="82" t="s">
        <v>4</v>
      </c>
      <c r="B13" s="82"/>
      <c r="C13" s="55" t="s">
        <v>28</v>
      </c>
      <c r="D13" s="145">
        <v>1235</v>
      </c>
      <c r="E13" s="100">
        <v>1200</v>
      </c>
      <c r="F13" s="100">
        <v>1100</v>
      </c>
      <c r="G13" s="100">
        <v>1000</v>
      </c>
      <c r="H13" s="100">
        <v>825</v>
      </c>
      <c r="I13" s="100">
        <v>750</v>
      </c>
      <c r="J13" s="100">
        <v>700</v>
      </c>
      <c r="K13" s="100">
        <v>600</v>
      </c>
      <c r="L13" s="100">
        <v>550</v>
      </c>
      <c r="M13" s="100">
        <v>475</v>
      </c>
      <c r="N13" s="100">
        <v>400</v>
      </c>
      <c r="O13" s="100">
        <v>320</v>
      </c>
      <c r="U13"/>
    </row>
    <row r="14" spans="1:21" x14ac:dyDescent="0.25">
      <c r="A14" s="83" t="s">
        <v>5</v>
      </c>
      <c r="B14" s="83"/>
      <c r="C14" s="55" t="s">
        <v>28</v>
      </c>
      <c r="D14" s="134">
        <v>2.46</v>
      </c>
      <c r="E14" s="100">
        <v>150</v>
      </c>
      <c r="F14" s="100">
        <v>200</v>
      </c>
      <c r="G14" s="100">
        <v>250</v>
      </c>
      <c r="H14" s="100">
        <v>350</v>
      </c>
      <c r="I14" s="100">
        <v>400</v>
      </c>
      <c r="J14" s="100">
        <v>450</v>
      </c>
      <c r="K14" s="100">
        <v>500</v>
      </c>
      <c r="L14" s="100">
        <v>500</v>
      </c>
      <c r="M14" s="100">
        <v>500</v>
      </c>
      <c r="N14" s="100">
        <v>500</v>
      </c>
      <c r="O14" s="100">
        <v>500</v>
      </c>
      <c r="U14"/>
    </row>
    <row r="15" spans="1:21" x14ac:dyDescent="0.25">
      <c r="A15" s="84" t="s">
        <v>41</v>
      </c>
      <c r="B15" s="84"/>
      <c r="C15" s="55" t="s">
        <v>28</v>
      </c>
      <c r="D15" s="134">
        <v>134</v>
      </c>
      <c r="E15" s="100">
        <v>100</v>
      </c>
      <c r="F15" s="100">
        <v>100</v>
      </c>
      <c r="G15" s="100">
        <v>100</v>
      </c>
      <c r="H15" s="100">
        <v>100</v>
      </c>
      <c r="I15" s="100">
        <v>100</v>
      </c>
      <c r="J15" s="100">
        <v>100</v>
      </c>
      <c r="K15" s="100">
        <v>100</v>
      </c>
      <c r="L15" s="100">
        <v>100</v>
      </c>
      <c r="M15" s="100">
        <v>100</v>
      </c>
      <c r="N15" s="100">
        <v>100</v>
      </c>
      <c r="O15" s="100">
        <v>100</v>
      </c>
      <c r="U15"/>
    </row>
    <row r="16" spans="1:21" x14ac:dyDescent="0.25">
      <c r="A16" s="89" t="s">
        <v>64</v>
      </c>
      <c r="B16" s="84"/>
      <c r="C16" s="55" t="s">
        <v>28</v>
      </c>
      <c r="D16" s="134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U16"/>
    </row>
    <row r="17" spans="1:21" x14ac:dyDescent="0.25">
      <c r="A17" s="77" t="s">
        <v>67</v>
      </c>
      <c r="B17" s="84"/>
      <c r="C17" s="55" t="s">
        <v>28</v>
      </c>
      <c r="D17" s="134">
        <v>48.7</v>
      </c>
      <c r="E17" s="100">
        <v>50</v>
      </c>
      <c r="F17" s="100">
        <v>50</v>
      </c>
      <c r="G17" s="100">
        <v>75</v>
      </c>
      <c r="H17" s="100">
        <v>75</v>
      </c>
      <c r="I17" s="100">
        <v>75</v>
      </c>
      <c r="J17" s="100">
        <v>75</v>
      </c>
      <c r="K17" s="100">
        <v>75</v>
      </c>
      <c r="L17" s="100">
        <v>75</v>
      </c>
      <c r="M17" s="100">
        <v>75</v>
      </c>
      <c r="N17" s="100">
        <v>75</v>
      </c>
      <c r="O17" s="100">
        <v>75</v>
      </c>
      <c r="U17"/>
    </row>
    <row r="18" spans="1:21" s="13" customFormat="1" ht="15.75" x14ac:dyDescent="0.25">
      <c r="A18" s="83" t="s">
        <v>27</v>
      </c>
      <c r="B18" s="83"/>
      <c r="C18" s="55" t="s">
        <v>28</v>
      </c>
      <c r="D18" s="134">
        <v>0</v>
      </c>
      <c r="E18" s="100">
        <v>0</v>
      </c>
      <c r="F18" s="100">
        <v>5</v>
      </c>
      <c r="G18" s="100">
        <v>15</v>
      </c>
      <c r="H18" s="100">
        <v>50</v>
      </c>
      <c r="I18" s="100">
        <v>75</v>
      </c>
      <c r="J18" s="100">
        <v>100</v>
      </c>
      <c r="K18" s="100">
        <v>200</v>
      </c>
      <c r="L18" s="100">
        <v>250</v>
      </c>
      <c r="M18" s="100">
        <v>300</v>
      </c>
      <c r="N18" s="100">
        <v>350</v>
      </c>
      <c r="O18" s="100">
        <v>400</v>
      </c>
      <c r="P18" s="46"/>
      <c r="Q18" s="46"/>
      <c r="R18" s="46"/>
      <c r="S18" s="46"/>
      <c r="T18" s="46"/>
    </row>
    <row r="19" spans="1:21" s="13" customFormat="1" ht="15.75" x14ac:dyDescent="0.25">
      <c r="A19" s="83" t="s">
        <v>6</v>
      </c>
      <c r="B19" s="83"/>
      <c r="C19" s="55" t="s">
        <v>28</v>
      </c>
      <c r="D19" s="134">
        <v>5.6</v>
      </c>
      <c r="E19" s="100">
        <v>20</v>
      </c>
      <c r="F19" s="100">
        <v>40</v>
      </c>
      <c r="G19" s="100">
        <v>40</v>
      </c>
      <c r="H19" s="100">
        <v>60</v>
      </c>
      <c r="I19" s="100">
        <v>60</v>
      </c>
      <c r="J19" s="100">
        <v>60</v>
      </c>
      <c r="K19" s="100">
        <v>60</v>
      </c>
      <c r="L19" s="100">
        <v>60</v>
      </c>
      <c r="M19" s="100">
        <v>60</v>
      </c>
      <c r="N19" s="100">
        <v>60</v>
      </c>
      <c r="O19" s="100">
        <v>60</v>
      </c>
      <c r="P19" s="46"/>
      <c r="Q19" s="46"/>
      <c r="R19" s="46"/>
      <c r="S19" s="46"/>
      <c r="T19" s="46"/>
    </row>
    <row r="20" spans="1:21" s="13" customFormat="1" ht="15.75" x14ac:dyDescent="0.25">
      <c r="A20" s="85" t="s">
        <v>26</v>
      </c>
      <c r="B20" s="85"/>
      <c r="C20" s="55" t="s">
        <v>28</v>
      </c>
      <c r="D20" s="100">
        <v>0</v>
      </c>
      <c r="E20" s="100">
        <v>0</v>
      </c>
      <c r="F20" s="100">
        <v>0</v>
      </c>
      <c r="G20" s="100">
        <v>0</v>
      </c>
      <c r="H20" s="100">
        <v>5</v>
      </c>
      <c r="I20" s="100">
        <v>15</v>
      </c>
      <c r="J20" s="100">
        <v>25</v>
      </c>
      <c r="K20" s="100">
        <v>50</v>
      </c>
      <c r="L20" s="100">
        <v>100</v>
      </c>
      <c r="M20" s="100">
        <v>150</v>
      </c>
      <c r="N20" s="100">
        <v>200</v>
      </c>
      <c r="O20" s="100">
        <v>250</v>
      </c>
      <c r="P20" s="46"/>
      <c r="Q20" s="46"/>
      <c r="R20" s="46"/>
      <c r="S20" s="46"/>
      <c r="T20" s="46"/>
    </row>
    <row r="21" spans="1:21" s="13" customFormat="1" ht="15.75" x14ac:dyDescent="0.25">
      <c r="A21" s="133" t="s">
        <v>83</v>
      </c>
      <c r="B21" s="133" t="s">
        <v>84</v>
      </c>
      <c r="C21" s="133" t="s">
        <v>59</v>
      </c>
      <c r="D21" s="134">
        <v>17</v>
      </c>
      <c r="E21" s="134">
        <v>17</v>
      </c>
      <c r="F21" s="134">
        <v>17</v>
      </c>
      <c r="G21" s="134">
        <v>17</v>
      </c>
      <c r="H21" s="134">
        <v>17</v>
      </c>
      <c r="I21" s="134">
        <v>17</v>
      </c>
      <c r="J21" s="134">
        <v>17</v>
      </c>
      <c r="K21" s="134">
        <v>17</v>
      </c>
      <c r="L21" s="134">
        <v>17</v>
      </c>
      <c r="M21" s="134">
        <v>17</v>
      </c>
      <c r="N21" s="134">
        <v>17</v>
      </c>
      <c r="O21" s="134">
        <v>17</v>
      </c>
      <c r="P21" s="46"/>
      <c r="Q21" s="46"/>
      <c r="R21" s="46"/>
      <c r="S21" s="46"/>
      <c r="T21" s="46"/>
    </row>
    <row r="22" spans="1:21" s="13" customFormat="1" ht="15.75" x14ac:dyDescent="0.25">
      <c r="A22" s="78" t="s">
        <v>12</v>
      </c>
      <c r="B22" s="78"/>
      <c r="C22" s="54" t="s">
        <v>59</v>
      </c>
      <c r="D22" s="100">
        <v>3.4090909090909088E-2</v>
      </c>
      <c r="E22" s="100">
        <v>0.36363636363636359</v>
      </c>
      <c r="F22" s="100">
        <v>0.72727272727272718</v>
      </c>
      <c r="G22" s="100">
        <v>1.8181818181818181</v>
      </c>
      <c r="H22" s="100">
        <v>3.6363636363636362</v>
      </c>
      <c r="I22" s="100">
        <v>5.4545454545454541</v>
      </c>
      <c r="J22" s="100">
        <v>7.2727272727272725</v>
      </c>
      <c r="K22" s="100">
        <v>10</v>
      </c>
      <c r="L22" s="100">
        <v>12.727272727272727</v>
      </c>
      <c r="M22" s="100">
        <v>16.363636363636363</v>
      </c>
      <c r="N22" s="100">
        <v>20.90909090909091</v>
      </c>
      <c r="O22" s="100">
        <v>27.27272727272727</v>
      </c>
      <c r="P22" s="46"/>
      <c r="Q22" s="46"/>
      <c r="R22" s="46"/>
      <c r="S22" s="46"/>
      <c r="T22" s="46"/>
    </row>
    <row r="23" spans="1:21" s="13" customFormat="1" ht="15.75" x14ac:dyDescent="0.25">
      <c r="A23" s="83" t="s">
        <v>7</v>
      </c>
      <c r="B23" s="83"/>
      <c r="C23" s="54" t="s">
        <v>29</v>
      </c>
      <c r="D23" s="99">
        <v>294.46721311475414</v>
      </c>
      <c r="E23" s="99">
        <v>439.53903587080021</v>
      </c>
      <c r="F23" s="99">
        <v>595.57002608230312</v>
      </c>
      <c r="G23" s="99">
        <v>758.96967305161718</v>
      </c>
      <c r="H23" s="99">
        <v>981.7753289863789</v>
      </c>
      <c r="I23" s="99">
        <v>1275.8998892824927</v>
      </c>
      <c r="J23" s="99">
        <v>1628.780768390011</v>
      </c>
      <c r="K23" s="99">
        <v>2064.0897646069775</v>
      </c>
      <c r="L23" s="99">
        <v>2563.0928641404494</v>
      </c>
      <c r="M23" s="99">
        <v>3126.9342768228876</v>
      </c>
      <c r="N23" s="99">
        <v>3756.6737281203973</v>
      </c>
      <c r="O23" s="99">
        <v>4373.7658648581955</v>
      </c>
      <c r="P23" s="46"/>
      <c r="Q23" s="46"/>
      <c r="R23" s="46"/>
      <c r="S23" s="46"/>
      <c r="T23" s="46"/>
    </row>
    <row r="24" spans="1:21" ht="15.75" x14ac:dyDescent="0.25">
      <c r="A24" s="86" t="s">
        <v>33</v>
      </c>
      <c r="B24" s="86"/>
      <c r="C24" s="12"/>
      <c r="D24" s="62">
        <f t="shared" ref="D24:O24" si="3">SUM(D13:D19)</f>
        <v>1425.76</v>
      </c>
      <c r="E24" s="62">
        <f t="shared" si="3"/>
        <v>1520</v>
      </c>
      <c r="F24" s="62">
        <f t="shared" si="3"/>
        <v>1495</v>
      </c>
      <c r="G24" s="63">
        <f t="shared" si="3"/>
        <v>1480</v>
      </c>
      <c r="H24" s="63">
        <f t="shared" si="3"/>
        <v>1460</v>
      </c>
      <c r="I24" s="63">
        <f t="shared" si="3"/>
        <v>1460</v>
      </c>
      <c r="J24" s="63">
        <f t="shared" si="3"/>
        <v>1485</v>
      </c>
      <c r="K24" s="63">
        <f t="shared" si="3"/>
        <v>1535</v>
      </c>
      <c r="L24" s="63">
        <f t="shared" si="3"/>
        <v>1535</v>
      </c>
      <c r="M24" s="63">
        <f t="shared" si="3"/>
        <v>1510</v>
      </c>
      <c r="N24" s="63">
        <f t="shared" si="3"/>
        <v>1485</v>
      </c>
      <c r="O24" s="63">
        <f t="shared" si="3"/>
        <v>1455</v>
      </c>
      <c r="U24"/>
    </row>
    <row r="25" spans="1:21" ht="15.75" x14ac:dyDescent="0.25">
      <c r="A25" s="87" t="s">
        <v>48</v>
      </c>
      <c r="B25" s="87"/>
      <c r="C25" s="12"/>
      <c r="D25" s="64">
        <f t="shared" ref="D25:O25" si="4">D106/$C$106</f>
        <v>12965.094649447925</v>
      </c>
      <c r="E25" s="64">
        <f t="shared" si="4"/>
        <v>12779.624702700874</v>
      </c>
      <c r="F25" s="64">
        <f t="shared" si="4"/>
        <v>12641.552096659028</v>
      </c>
      <c r="G25" s="64">
        <f t="shared" si="4"/>
        <v>12496.566726322562</v>
      </c>
      <c r="H25" s="64">
        <f t="shared" si="4"/>
        <v>12344.554523270728</v>
      </c>
      <c r="I25" s="64">
        <f t="shared" si="4"/>
        <v>12167.962317884409</v>
      </c>
      <c r="J25" s="64">
        <f t="shared" si="4"/>
        <v>11969.653465957434</v>
      </c>
      <c r="K25" s="64">
        <f t="shared" si="4"/>
        <v>11665.292730495139</v>
      </c>
      <c r="L25" s="64">
        <f t="shared" si="4"/>
        <v>11366.473378971195</v>
      </c>
      <c r="M25" s="64">
        <f t="shared" si="4"/>
        <v>11080.077698139585</v>
      </c>
      <c r="N25" s="64">
        <f t="shared" si="4"/>
        <v>10788.906400925989</v>
      </c>
      <c r="O25" s="64">
        <f t="shared" si="4"/>
        <v>10503.459146820689</v>
      </c>
      <c r="U25"/>
    </row>
    <row r="26" spans="1:21" ht="15.75" x14ac:dyDescent="0.25">
      <c r="A26" s="87" t="s">
        <v>54</v>
      </c>
      <c r="B26" s="87"/>
      <c r="C26" s="12"/>
      <c r="D26" s="62">
        <f t="shared" ref="D26:O26" si="5">D24+D25+D20</f>
        <v>14390.854649447925</v>
      </c>
      <c r="E26" s="62">
        <f t="shared" si="5"/>
        <v>14299.624702700874</v>
      </c>
      <c r="F26" s="96">
        <f t="shared" si="5"/>
        <v>14136.552096659028</v>
      </c>
      <c r="G26" s="96">
        <f t="shared" si="5"/>
        <v>13976.566726322562</v>
      </c>
      <c r="H26" s="96">
        <f t="shared" si="5"/>
        <v>13809.554523270728</v>
      </c>
      <c r="I26" s="96">
        <f t="shared" si="5"/>
        <v>13642.962317884409</v>
      </c>
      <c r="J26" s="96">
        <f t="shared" si="5"/>
        <v>13479.653465957434</v>
      </c>
      <c r="K26" s="96">
        <f t="shared" si="5"/>
        <v>13250.292730495139</v>
      </c>
      <c r="L26" s="96">
        <f t="shared" si="5"/>
        <v>13001.473378971195</v>
      </c>
      <c r="M26" s="96">
        <f t="shared" si="5"/>
        <v>12740.077698139585</v>
      </c>
      <c r="N26" s="96">
        <f t="shared" si="5"/>
        <v>12473.906400925989</v>
      </c>
      <c r="O26" s="96">
        <f t="shared" si="5"/>
        <v>12208.459146820689</v>
      </c>
      <c r="U26"/>
    </row>
    <row r="27" spans="1:21" ht="16.5" thickBot="1" x14ac:dyDescent="0.3">
      <c r="A27" s="87" t="s">
        <v>32</v>
      </c>
      <c r="B27" s="87"/>
      <c r="C27" s="12"/>
      <c r="D27" s="65">
        <f t="shared" ref="D27:O27" si="6">D24/D26</f>
        <v>9.9074032413682692E-2</v>
      </c>
      <c r="E27" s="65">
        <f t="shared" si="6"/>
        <v>0.1062964959991507</v>
      </c>
      <c r="F27" s="65">
        <f t="shared" si="6"/>
        <v>0.10575421713709963</v>
      </c>
      <c r="G27" s="65">
        <f t="shared" si="6"/>
        <v>0.10589152751030506</v>
      </c>
      <c r="H27" s="65">
        <f t="shared" si="6"/>
        <v>0.10572390279061702</v>
      </c>
      <c r="I27" s="65">
        <f t="shared" si="6"/>
        <v>0.10701488181097606</v>
      </c>
      <c r="J27" s="65">
        <f t="shared" si="6"/>
        <v>0.11016603681617888</v>
      </c>
      <c r="K27" s="65">
        <f t="shared" si="6"/>
        <v>0.11584649722245342</v>
      </c>
      <c r="L27" s="65">
        <f t="shared" si="6"/>
        <v>0.11806354212767417</v>
      </c>
      <c r="M27" s="65">
        <f t="shared" si="6"/>
        <v>0.11852360996357998</v>
      </c>
      <c r="N27" s="65">
        <f t="shared" si="6"/>
        <v>0.11904851233209209</v>
      </c>
      <c r="O27" s="65">
        <f t="shared" si="6"/>
        <v>0.11917965916107515</v>
      </c>
      <c r="U27"/>
    </row>
    <row r="28" spans="1:21" ht="15" customHeight="1" x14ac:dyDescent="0.25">
      <c r="A28" s="75"/>
      <c r="B28" s="75"/>
      <c r="C28" s="12"/>
      <c r="D28" s="37"/>
      <c r="E28" s="37"/>
      <c r="F28" s="37"/>
      <c r="G28" s="37"/>
      <c r="H28" s="37"/>
      <c r="I28" s="37"/>
      <c r="J28" s="37"/>
      <c r="L28"/>
      <c r="M28"/>
      <c r="U28"/>
    </row>
    <row r="29" spans="1:21" x14ac:dyDescent="0.25">
      <c r="A29" s="83"/>
      <c r="B29" s="83"/>
      <c r="C29" s="112" t="s">
        <v>25</v>
      </c>
      <c r="D29" s="58">
        <v>2014</v>
      </c>
      <c r="E29" s="58">
        <v>2015</v>
      </c>
      <c r="F29" s="58">
        <v>2016</v>
      </c>
      <c r="G29" s="58">
        <v>2017</v>
      </c>
      <c r="H29" s="58">
        <v>2018</v>
      </c>
      <c r="I29" s="58">
        <v>2019</v>
      </c>
      <c r="J29" s="58">
        <v>2020</v>
      </c>
      <c r="K29" s="58">
        <v>2021</v>
      </c>
      <c r="L29" s="58">
        <v>2022</v>
      </c>
      <c r="M29" s="58">
        <v>2023</v>
      </c>
      <c r="N29" s="58">
        <v>2024</v>
      </c>
      <c r="O29" s="58">
        <v>2025</v>
      </c>
      <c r="U29"/>
    </row>
    <row r="30" spans="1:21" x14ac:dyDescent="0.25">
      <c r="A30" s="83" t="s">
        <v>76</v>
      </c>
      <c r="B30" s="83"/>
      <c r="C30" s="54" t="s">
        <v>28</v>
      </c>
      <c r="D30" s="134">
        <v>64.7</v>
      </c>
      <c r="E30" s="110">
        <v>97</v>
      </c>
      <c r="F30" s="110">
        <v>129</v>
      </c>
      <c r="G30" s="110">
        <v>160</v>
      </c>
      <c r="H30" s="110">
        <v>180</v>
      </c>
      <c r="I30" s="110">
        <v>180</v>
      </c>
      <c r="J30" s="110">
        <v>180</v>
      </c>
      <c r="K30" s="110">
        <v>185</v>
      </c>
      <c r="L30" s="110">
        <v>185</v>
      </c>
      <c r="M30" s="110">
        <v>185</v>
      </c>
      <c r="N30" s="110">
        <v>190</v>
      </c>
      <c r="O30" s="110">
        <v>190</v>
      </c>
      <c r="P30"/>
      <c r="Q30"/>
      <c r="R30"/>
      <c r="U30"/>
    </row>
    <row r="31" spans="1:21" x14ac:dyDescent="0.25">
      <c r="A31" s="83" t="s">
        <v>8</v>
      </c>
      <c r="B31" s="83"/>
      <c r="C31" s="55" t="s">
        <v>28</v>
      </c>
      <c r="D31" s="134">
        <v>114</v>
      </c>
      <c r="E31" s="110">
        <v>180</v>
      </c>
      <c r="F31" s="110">
        <v>250</v>
      </c>
      <c r="G31" s="110">
        <v>300</v>
      </c>
      <c r="H31" s="110">
        <v>320</v>
      </c>
      <c r="I31" s="110">
        <v>360</v>
      </c>
      <c r="J31" s="110">
        <v>400</v>
      </c>
      <c r="K31" s="110">
        <v>500</v>
      </c>
      <c r="L31" s="110">
        <v>550</v>
      </c>
      <c r="M31" s="110">
        <v>600</v>
      </c>
      <c r="N31" s="110">
        <v>600</v>
      </c>
      <c r="O31" s="110">
        <v>600</v>
      </c>
      <c r="P31"/>
      <c r="Q31"/>
      <c r="R31"/>
      <c r="U31"/>
    </row>
    <row r="32" spans="1:21" x14ac:dyDescent="0.25">
      <c r="A32" s="83" t="s">
        <v>69</v>
      </c>
      <c r="B32" s="83"/>
      <c r="C32" s="55" t="s">
        <v>35</v>
      </c>
      <c r="D32" s="134">
        <v>86.300000000000011</v>
      </c>
      <c r="E32" s="134">
        <v>70</v>
      </c>
      <c r="F32" s="134">
        <v>75</v>
      </c>
      <c r="G32" s="134">
        <v>75</v>
      </c>
      <c r="H32" s="134">
        <v>75</v>
      </c>
      <c r="I32" s="134">
        <v>75</v>
      </c>
      <c r="J32" s="134">
        <v>55</v>
      </c>
      <c r="K32" s="134">
        <v>35</v>
      </c>
      <c r="L32" s="134">
        <v>35</v>
      </c>
      <c r="M32" s="134">
        <v>35</v>
      </c>
      <c r="N32" s="134">
        <v>35</v>
      </c>
      <c r="O32" s="134">
        <v>35</v>
      </c>
      <c r="P32"/>
      <c r="Q32"/>
      <c r="R32"/>
      <c r="U32"/>
    </row>
    <row r="33" spans="1:22" x14ac:dyDescent="0.25">
      <c r="A33" s="85" t="s">
        <v>70</v>
      </c>
      <c r="B33" s="85"/>
      <c r="C33" s="56" t="s">
        <v>35</v>
      </c>
      <c r="D33" s="134">
        <v>23.4</v>
      </c>
      <c r="E33" s="134">
        <v>55</v>
      </c>
      <c r="F33" s="134">
        <v>70</v>
      </c>
      <c r="G33" s="134">
        <v>90</v>
      </c>
      <c r="H33" s="134">
        <v>130</v>
      </c>
      <c r="I33" s="134">
        <v>170</v>
      </c>
      <c r="J33" s="134">
        <v>230</v>
      </c>
      <c r="K33" s="134">
        <v>290</v>
      </c>
      <c r="L33" s="134">
        <v>330</v>
      </c>
      <c r="M33" s="134">
        <v>370</v>
      </c>
      <c r="N33" s="134">
        <v>410</v>
      </c>
      <c r="O33" s="134">
        <v>450</v>
      </c>
      <c r="P33" s="45" t="s">
        <v>85</v>
      </c>
      <c r="U33"/>
    </row>
    <row r="34" spans="1:22" x14ac:dyDescent="0.25">
      <c r="A34" s="83" t="s">
        <v>9</v>
      </c>
      <c r="B34" s="83"/>
      <c r="C34" s="54" t="s">
        <v>29</v>
      </c>
      <c r="D34" s="99">
        <v>0</v>
      </c>
      <c r="E34" s="99">
        <v>0</v>
      </c>
      <c r="F34" s="99">
        <v>900</v>
      </c>
      <c r="G34" s="99">
        <v>900</v>
      </c>
      <c r="H34" s="99">
        <v>900</v>
      </c>
      <c r="I34" s="99">
        <v>900</v>
      </c>
      <c r="J34" s="99">
        <v>900</v>
      </c>
      <c r="K34" s="99">
        <v>900</v>
      </c>
      <c r="L34" s="99">
        <v>900</v>
      </c>
      <c r="M34" s="99">
        <v>900</v>
      </c>
      <c r="N34" s="99">
        <v>900</v>
      </c>
      <c r="O34" s="99">
        <v>900</v>
      </c>
      <c r="P34" s="45" t="s">
        <v>86</v>
      </c>
      <c r="U34"/>
    </row>
    <row r="35" spans="1:22" x14ac:dyDescent="0.25">
      <c r="A35" s="75" t="s">
        <v>61</v>
      </c>
      <c r="B35" s="75"/>
      <c r="C35" s="12"/>
      <c r="D35" s="134">
        <v>109.7</v>
      </c>
      <c r="E35" s="134">
        <f>E32+E33</f>
        <v>125</v>
      </c>
      <c r="F35" s="134">
        <f t="shared" ref="F35:O35" si="7">F32+F33</f>
        <v>145</v>
      </c>
      <c r="G35" s="134">
        <f t="shared" si="7"/>
        <v>165</v>
      </c>
      <c r="H35" s="134">
        <f t="shared" si="7"/>
        <v>205</v>
      </c>
      <c r="I35" s="134">
        <f t="shared" si="7"/>
        <v>245</v>
      </c>
      <c r="J35" s="134">
        <f t="shared" si="7"/>
        <v>285</v>
      </c>
      <c r="K35" s="134">
        <f t="shared" si="7"/>
        <v>325</v>
      </c>
      <c r="L35" s="134">
        <f t="shared" si="7"/>
        <v>365</v>
      </c>
      <c r="M35" s="134">
        <f t="shared" si="7"/>
        <v>405</v>
      </c>
      <c r="N35" s="134">
        <f t="shared" si="7"/>
        <v>445</v>
      </c>
      <c r="O35" s="134">
        <f t="shared" si="7"/>
        <v>485</v>
      </c>
      <c r="U35"/>
    </row>
    <row r="36" spans="1:22" x14ac:dyDescent="0.25">
      <c r="A36" s="87" t="s">
        <v>56</v>
      </c>
      <c r="B36" s="87"/>
      <c r="C36" s="12"/>
      <c r="D36" s="59">
        <f>D30</f>
        <v>64.7</v>
      </c>
      <c r="E36" s="59">
        <f>E30</f>
        <v>97</v>
      </c>
      <c r="F36" s="59">
        <f>F30</f>
        <v>129</v>
      </c>
      <c r="G36" s="59">
        <f>G30</f>
        <v>160</v>
      </c>
      <c r="H36" s="59">
        <f t="shared" ref="H36:O36" si="8">H30</f>
        <v>180</v>
      </c>
      <c r="I36" s="59">
        <f t="shared" si="8"/>
        <v>180</v>
      </c>
      <c r="J36" s="59">
        <f t="shared" si="8"/>
        <v>180</v>
      </c>
      <c r="K36" s="59">
        <f t="shared" si="8"/>
        <v>185</v>
      </c>
      <c r="L36" s="59">
        <f t="shared" si="8"/>
        <v>185</v>
      </c>
      <c r="M36" s="59">
        <f t="shared" si="8"/>
        <v>185</v>
      </c>
      <c r="N36" s="59">
        <f t="shared" si="8"/>
        <v>190</v>
      </c>
      <c r="O36" s="59">
        <f t="shared" si="8"/>
        <v>190</v>
      </c>
      <c r="U36"/>
    </row>
    <row r="37" spans="1:22" x14ac:dyDescent="0.25">
      <c r="A37" s="87" t="s">
        <v>50</v>
      </c>
      <c r="B37" s="87"/>
      <c r="C37" s="40"/>
      <c r="D37" s="60">
        <f t="shared" ref="D37:O37" si="9">D7</f>
        <v>3786.7</v>
      </c>
      <c r="E37" s="60">
        <f t="shared" si="9"/>
        <v>3788.1373249999992</v>
      </c>
      <c r="F37" s="60">
        <f t="shared" si="9"/>
        <v>3844.9593848749987</v>
      </c>
      <c r="G37" s="60">
        <f t="shared" si="9"/>
        <v>3902.6337756481234</v>
      </c>
      <c r="H37" s="60">
        <f t="shared" si="9"/>
        <v>3961.1732822828449</v>
      </c>
      <c r="I37" s="60">
        <f t="shared" si="9"/>
        <v>4020.5908815170869</v>
      </c>
      <c r="J37" s="60">
        <f t="shared" si="9"/>
        <v>4080.8997447398428</v>
      </c>
      <c r="K37" s="60">
        <f t="shared" si="9"/>
        <v>4142.1132409109405</v>
      </c>
      <c r="L37" s="60">
        <f t="shared" si="9"/>
        <v>4204.244939524604</v>
      </c>
      <c r="M37" s="60">
        <f t="shared" si="9"/>
        <v>4267.3086136174725</v>
      </c>
      <c r="N37" s="60">
        <f t="shared" si="9"/>
        <v>4331.3182428217342</v>
      </c>
      <c r="O37" s="60">
        <f t="shared" si="9"/>
        <v>4396.2880164640601</v>
      </c>
      <c r="U37"/>
    </row>
    <row r="38" spans="1:22" x14ac:dyDescent="0.25">
      <c r="A38" s="87" t="s">
        <v>49</v>
      </c>
      <c r="B38" s="87"/>
      <c r="C38" s="12"/>
      <c r="D38" s="15">
        <f t="shared" ref="D38:O38" si="10">D116/$C$115</f>
        <v>3506.3981057150718</v>
      </c>
      <c r="E38" s="15">
        <f t="shared" si="10"/>
        <v>3398.6039830681048</v>
      </c>
      <c r="F38" s="15">
        <f t="shared" si="10"/>
        <v>3313.8247717170284</v>
      </c>
      <c r="G38" s="15">
        <f t="shared" si="10"/>
        <v>3274.2135951596074</v>
      </c>
      <c r="H38" s="15">
        <f t="shared" si="10"/>
        <v>3254.7101266784566</v>
      </c>
      <c r="I38" s="15">
        <f t="shared" si="10"/>
        <v>3235.5615029633418</v>
      </c>
      <c r="J38" s="15">
        <f t="shared" si="10"/>
        <v>3217.3041432367413</v>
      </c>
      <c r="K38" s="15">
        <f t="shared" si="10"/>
        <v>3137.4121161241483</v>
      </c>
      <c r="L38" s="15">
        <f t="shared" si="10"/>
        <v>3111.3360360511165</v>
      </c>
      <c r="M38" s="15">
        <f t="shared" si="10"/>
        <v>3086.1919314572883</v>
      </c>
      <c r="N38" s="15">
        <f t="shared" si="10"/>
        <v>3105.5115947512522</v>
      </c>
      <c r="O38" s="15">
        <f t="shared" si="10"/>
        <v>3130.4813683935777</v>
      </c>
      <c r="U38"/>
    </row>
    <row r="39" spans="1:22" x14ac:dyDescent="0.25">
      <c r="A39" s="87" t="s">
        <v>55</v>
      </c>
      <c r="B39" s="87"/>
      <c r="C39" s="12"/>
      <c r="D39" s="57">
        <f>SUM(D30:D30)/(D38+D31+D36)</f>
        <v>1.7557198789269507E-2</v>
      </c>
      <c r="E39" s="57">
        <f>SUM(E30:E30)/(E38+E31+E36)</f>
        <v>2.6390220613220699E-2</v>
      </c>
      <c r="F39" s="57">
        <f>SUM(F30:F30)/(F38+F31+F36)</f>
        <v>3.4932607955838565E-2</v>
      </c>
      <c r="G39" s="57">
        <f>SUM(G30:G30)/(G38+G31+G36)</f>
        <v>4.2847040192718622E-2</v>
      </c>
      <c r="H39" s="57">
        <f t="shared" ref="H39:O39" si="11">SUM(H30:H30)/(H38+H31+H36)</f>
        <v>4.7939786009322131E-2</v>
      </c>
      <c r="I39" s="57">
        <f t="shared" si="11"/>
        <v>4.7675027902133918E-2</v>
      </c>
      <c r="J39" s="57">
        <f t="shared" si="11"/>
        <v>4.7402049772755847E-2</v>
      </c>
      <c r="K39" s="57">
        <f t="shared" si="11"/>
        <v>4.8398758265654103E-2</v>
      </c>
      <c r="L39" s="57">
        <f t="shared" si="11"/>
        <v>4.8097721641069173E-2</v>
      </c>
      <c r="M39" s="57">
        <f t="shared" si="11"/>
        <v>4.7788898942646277E-2</v>
      </c>
      <c r="N39" s="57">
        <f t="shared" si="11"/>
        <v>4.8774081498307656E-2</v>
      </c>
      <c r="O39" s="57">
        <f t="shared" si="11"/>
        <v>4.846343653913416E-2</v>
      </c>
      <c r="U39"/>
    </row>
    <row r="40" spans="1:22" ht="15.75" thickBot="1" x14ac:dyDescent="0.3">
      <c r="A40" s="75" t="s">
        <v>60</v>
      </c>
      <c r="B40" s="75"/>
      <c r="C40" s="12"/>
      <c r="D40" s="61">
        <f t="shared" ref="D40:O40" si="12">D31/(D31+D36+D38)</f>
        <v>3.0935404358218292E-2</v>
      </c>
      <c r="E40" s="61">
        <f t="shared" si="12"/>
        <v>4.897154340597655E-2</v>
      </c>
      <c r="F40" s="61">
        <f t="shared" si="12"/>
        <v>6.7698852627594119E-2</v>
      </c>
      <c r="G40" s="61">
        <f t="shared" si="12"/>
        <v>8.0338200361347409E-2</v>
      </c>
      <c r="H40" s="61">
        <f t="shared" si="12"/>
        <v>8.5226286238794899E-2</v>
      </c>
      <c r="I40" s="61">
        <f t="shared" si="12"/>
        <v>9.5350055804267836E-2</v>
      </c>
      <c r="J40" s="61">
        <f t="shared" si="12"/>
        <v>0.10533788838390187</v>
      </c>
      <c r="K40" s="61">
        <f t="shared" si="12"/>
        <v>0.13080745477203812</v>
      </c>
      <c r="L40" s="61">
        <f t="shared" si="12"/>
        <v>0.14299322650047591</v>
      </c>
      <c r="M40" s="61">
        <f t="shared" si="12"/>
        <v>0.1549910235977717</v>
      </c>
      <c r="N40" s="61">
        <f t="shared" si="12"/>
        <v>0.15402341525781366</v>
      </c>
      <c r="O40" s="61">
        <f t="shared" si="12"/>
        <v>0.15304243117621313</v>
      </c>
      <c r="P40"/>
      <c r="U40"/>
    </row>
    <row r="41" spans="1:22" x14ac:dyDescent="0.25">
      <c r="B41" s="36"/>
      <c r="C41" s="17"/>
      <c r="D41" s="17"/>
      <c r="E41" s="17"/>
      <c r="L41"/>
      <c r="M41"/>
      <c r="N41"/>
      <c r="O41"/>
      <c r="P41"/>
      <c r="V41" s="45"/>
    </row>
    <row r="42" spans="1:22" ht="15.75" thickBot="1" x14ac:dyDescent="0.3">
      <c r="D42" s="157" t="s">
        <v>89</v>
      </c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9"/>
      <c r="P42"/>
    </row>
    <row r="43" spans="1:22" x14ac:dyDescent="0.25">
      <c r="B43" s="34"/>
      <c r="C43" s="36"/>
      <c r="D43" s="130">
        <v>2014</v>
      </c>
      <c r="E43" s="125">
        <v>2015</v>
      </c>
      <c r="F43" s="125">
        <v>2016</v>
      </c>
      <c r="G43" s="125">
        <v>2017</v>
      </c>
      <c r="H43" s="125">
        <v>2018</v>
      </c>
      <c r="I43" s="125">
        <v>2019</v>
      </c>
      <c r="J43" s="125">
        <v>2020</v>
      </c>
      <c r="K43" s="125">
        <v>2021</v>
      </c>
      <c r="L43" s="125">
        <v>2022</v>
      </c>
      <c r="M43" s="125">
        <v>2023</v>
      </c>
      <c r="N43" s="125">
        <v>2024</v>
      </c>
      <c r="O43" s="126">
        <v>2025</v>
      </c>
      <c r="P43"/>
    </row>
    <row r="44" spans="1:22" x14ac:dyDescent="0.25">
      <c r="B44" s="34"/>
      <c r="C44" s="70" t="s">
        <v>4</v>
      </c>
      <c r="D44" s="135">
        <v>83.3</v>
      </c>
      <c r="E44" s="135">
        <v>83.3</v>
      </c>
      <c r="F44" s="135">
        <v>70</v>
      </c>
      <c r="G44" s="135">
        <v>69</v>
      </c>
      <c r="H44" s="135">
        <v>67</v>
      </c>
      <c r="I44" s="135">
        <v>66</v>
      </c>
      <c r="J44" s="135">
        <v>65</v>
      </c>
      <c r="K44" s="135">
        <v>64</v>
      </c>
      <c r="L44" s="135">
        <v>63</v>
      </c>
      <c r="M44" s="135">
        <v>62</v>
      </c>
      <c r="N44" s="135">
        <v>61</v>
      </c>
      <c r="O44" s="135">
        <v>60</v>
      </c>
      <c r="P44"/>
    </row>
    <row r="45" spans="1:22" x14ac:dyDescent="0.25">
      <c r="B45" s="34"/>
      <c r="C45" s="70" t="s">
        <v>5</v>
      </c>
      <c r="D45" s="135">
        <v>58.4</v>
      </c>
      <c r="E45" s="135">
        <v>69.7</v>
      </c>
      <c r="F45" s="135">
        <v>44</v>
      </c>
      <c r="G45" s="135">
        <f>F45-0.5</f>
        <v>43.5</v>
      </c>
      <c r="H45" s="135">
        <f t="shared" ref="H45:O45" si="13">G45-0.5</f>
        <v>43</v>
      </c>
      <c r="I45" s="135">
        <f t="shared" si="13"/>
        <v>42.5</v>
      </c>
      <c r="J45" s="135">
        <f t="shared" si="13"/>
        <v>42</v>
      </c>
      <c r="K45" s="135">
        <f t="shared" si="13"/>
        <v>41.5</v>
      </c>
      <c r="L45" s="135">
        <f t="shared" si="13"/>
        <v>41</v>
      </c>
      <c r="M45" s="135">
        <f t="shared" si="13"/>
        <v>40.5</v>
      </c>
      <c r="N45" s="135">
        <f t="shared" si="13"/>
        <v>40</v>
      </c>
      <c r="O45" s="135">
        <f t="shared" si="13"/>
        <v>39.5</v>
      </c>
      <c r="P45"/>
    </row>
    <row r="46" spans="1:22" x14ac:dyDescent="0.25">
      <c r="B46" s="34"/>
      <c r="C46" s="121" t="s">
        <v>41</v>
      </c>
      <c r="D46" s="135">
        <v>78.650000000000006</v>
      </c>
      <c r="E46" s="135">
        <v>78.650000000000006</v>
      </c>
      <c r="F46" s="135">
        <f>F44</f>
        <v>70</v>
      </c>
      <c r="G46" s="135">
        <f t="shared" ref="G46:O46" si="14">G44</f>
        <v>69</v>
      </c>
      <c r="H46" s="135">
        <f t="shared" si="14"/>
        <v>67</v>
      </c>
      <c r="I46" s="135">
        <f t="shared" si="14"/>
        <v>66</v>
      </c>
      <c r="J46" s="135">
        <f t="shared" si="14"/>
        <v>65</v>
      </c>
      <c r="K46" s="135">
        <f t="shared" si="14"/>
        <v>64</v>
      </c>
      <c r="L46" s="135">
        <f t="shared" si="14"/>
        <v>63</v>
      </c>
      <c r="M46" s="135">
        <f t="shared" si="14"/>
        <v>62</v>
      </c>
      <c r="N46" s="135">
        <f t="shared" si="14"/>
        <v>61</v>
      </c>
      <c r="O46" s="135">
        <f t="shared" si="14"/>
        <v>60</v>
      </c>
      <c r="P46"/>
    </row>
    <row r="47" spans="1:22" x14ac:dyDescent="0.25">
      <c r="B47" s="34"/>
      <c r="C47" s="70" t="s">
        <v>64</v>
      </c>
      <c r="D47" s="135">
        <v>87.65</v>
      </c>
      <c r="E47" s="135">
        <v>87.65</v>
      </c>
      <c r="F47" s="135">
        <v>70</v>
      </c>
      <c r="G47" s="135">
        <v>69.3</v>
      </c>
      <c r="H47" s="135">
        <v>68.606999999999999</v>
      </c>
      <c r="I47" s="135">
        <v>67.920929999999998</v>
      </c>
      <c r="J47" s="135">
        <v>67.241720700000002</v>
      </c>
      <c r="K47" s="135">
        <v>66.569303493000007</v>
      </c>
      <c r="L47" s="135">
        <v>65.903610458070006</v>
      </c>
      <c r="M47" s="135">
        <v>65.244574353489298</v>
      </c>
      <c r="N47" s="135">
        <v>64.592128609954401</v>
      </c>
      <c r="O47" s="135">
        <v>63.946207323854857</v>
      </c>
      <c r="P47"/>
    </row>
    <row r="48" spans="1:22" x14ac:dyDescent="0.25">
      <c r="B48" s="34"/>
      <c r="C48" s="122" t="s">
        <v>67</v>
      </c>
      <c r="D48" s="135">
        <v>65.28</v>
      </c>
      <c r="E48" s="135">
        <v>65.28</v>
      </c>
      <c r="F48" s="135">
        <v>65</v>
      </c>
      <c r="G48" s="135">
        <v>64.349999999999994</v>
      </c>
      <c r="H48" s="135">
        <v>63.706499999999991</v>
      </c>
      <c r="I48" s="135">
        <v>63.069434999999991</v>
      </c>
      <c r="J48" s="135">
        <v>62.438740649999993</v>
      </c>
      <c r="K48" s="135">
        <v>61.814353243499994</v>
      </c>
      <c r="L48" s="135">
        <v>61.196209711064995</v>
      </c>
      <c r="M48" s="135">
        <v>60.584247613954346</v>
      </c>
      <c r="N48" s="135">
        <v>59.978405137814804</v>
      </c>
      <c r="O48" s="135">
        <v>59.378621086436652</v>
      </c>
      <c r="P48"/>
    </row>
    <row r="49" spans="1:21" x14ac:dyDescent="0.25">
      <c r="B49" s="34"/>
      <c r="C49" s="70" t="s">
        <v>95</v>
      </c>
      <c r="D49" s="127">
        <v>20</v>
      </c>
      <c r="E49" s="128">
        <v>20</v>
      </c>
      <c r="F49" s="128">
        <v>20</v>
      </c>
      <c r="G49" s="128">
        <v>20</v>
      </c>
      <c r="H49" s="128">
        <v>20</v>
      </c>
      <c r="I49" s="128">
        <v>20</v>
      </c>
      <c r="J49" s="128">
        <v>20</v>
      </c>
      <c r="K49" s="128">
        <v>20</v>
      </c>
      <c r="L49" s="128">
        <v>20</v>
      </c>
      <c r="M49" s="128">
        <v>20</v>
      </c>
      <c r="N49" s="128">
        <v>20</v>
      </c>
      <c r="O49" s="129">
        <v>20</v>
      </c>
      <c r="P49"/>
    </row>
    <row r="50" spans="1:21" x14ac:dyDescent="0.25">
      <c r="B50" s="34"/>
      <c r="C50" s="70" t="s">
        <v>6</v>
      </c>
      <c r="D50" s="127">
        <v>22.57</v>
      </c>
      <c r="E50" s="128">
        <v>22.57</v>
      </c>
      <c r="F50" s="135">
        <v>33.299999999999997</v>
      </c>
      <c r="G50" s="135">
        <v>33.049999999999997</v>
      </c>
      <c r="H50" s="135">
        <v>36.200000000000003</v>
      </c>
      <c r="I50" s="135">
        <v>35.866666666666667</v>
      </c>
      <c r="J50" s="135">
        <v>35.533333333333331</v>
      </c>
      <c r="K50" s="135">
        <v>35.200000000000003</v>
      </c>
      <c r="L50" s="135">
        <v>34.866666666666667</v>
      </c>
      <c r="M50" s="135">
        <v>34.533333333333331</v>
      </c>
      <c r="N50" s="135">
        <v>34.200000000000003</v>
      </c>
      <c r="O50" s="135">
        <v>33.866666666666667</v>
      </c>
      <c r="P50"/>
    </row>
    <row r="51" spans="1:21" x14ac:dyDescent="0.25">
      <c r="B51" s="34"/>
      <c r="C51" s="70" t="s">
        <v>26</v>
      </c>
      <c r="D51" s="127">
        <v>35</v>
      </c>
      <c r="E51" s="128">
        <v>35</v>
      </c>
      <c r="F51" s="128">
        <v>35</v>
      </c>
      <c r="G51" s="128">
        <v>35</v>
      </c>
      <c r="H51" s="128">
        <v>35</v>
      </c>
      <c r="I51" s="128">
        <v>35</v>
      </c>
      <c r="J51" s="128">
        <v>35</v>
      </c>
      <c r="K51" s="128">
        <v>35</v>
      </c>
      <c r="L51" s="128">
        <v>35</v>
      </c>
      <c r="M51" s="128">
        <v>35</v>
      </c>
      <c r="N51" s="128">
        <v>35</v>
      </c>
      <c r="O51" s="129">
        <v>35</v>
      </c>
      <c r="P51"/>
    </row>
    <row r="52" spans="1:21" x14ac:dyDescent="0.25">
      <c r="B52" s="34"/>
      <c r="C52" s="70" t="s">
        <v>92</v>
      </c>
      <c r="D52" s="127">
        <v>43.872</v>
      </c>
      <c r="E52" s="128">
        <v>43.872</v>
      </c>
      <c r="F52" s="135">
        <v>42</v>
      </c>
      <c r="G52" s="135">
        <v>39.5</v>
      </c>
      <c r="H52" s="135">
        <v>37</v>
      </c>
      <c r="I52" s="135">
        <v>34.5</v>
      </c>
      <c r="J52" s="135">
        <v>32</v>
      </c>
      <c r="K52" s="135">
        <v>32</v>
      </c>
      <c r="L52" s="135">
        <v>32</v>
      </c>
      <c r="M52" s="135">
        <v>32</v>
      </c>
      <c r="N52" s="135">
        <v>32</v>
      </c>
      <c r="O52" s="135">
        <v>32</v>
      </c>
      <c r="P52"/>
    </row>
    <row r="53" spans="1:21" x14ac:dyDescent="0.25">
      <c r="B53" s="34"/>
      <c r="C53" s="70" t="s">
        <v>93</v>
      </c>
      <c r="D53" s="135">
        <v>30.2</v>
      </c>
      <c r="E53" s="135">
        <v>30.2</v>
      </c>
      <c r="F53" s="135">
        <v>30.9</v>
      </c>
      <c r="G53" s="135">
        <v>29.9</v>
      </c>
      <c r="H53" s="135">
        <v>28.9</v>
      </c>
      <c r="I53" s="135">
        <v>27.9</v>
      </c>
      <c r="J53" s="135">
        <v>26</v>
      </c>
      <c r="K53" s="135">
        <v>26</v>
      </c>
      <c r="L53" s="135">
        <v>26</v>
      </c>
      <c r="M53" s="135">
        <v>26</v>
      </c>
      <c r="N53" s="135">
        <v>26</v>
      </c>
      <c r="O53" s="135">
        <v>26</v>
      </c>
      <c r="P53"/>
    </row>
    <row r="54" spans="1:21" x14ac:dyDescent="0.25">
      <c r="B54" s="34"/>
      <c r="C54" s="70" t="s">
        <v>77</v>
      </c>
      <c r="D54" s="135">
        <v>19.53</v>
      </c>
      <c r="E54" s="135">
        <v>19.53</v>
      </c>
      <c r="F54" s="135">
        <v>20</v>
      </c>
      <c r="G54" s="135">
        <v>19.5</v>
      </c>
      <c r="H54" s="135">
        <v>19</v>
      </c>
      <c r="I54" s="135">
        <v>18.5</v>
      </c>
      <c r="J54" s="135">
        <v>18</v>
      </c>
      <c r="K54" s="135">
        <v>17.5</v>
      </c>
      <c r="L54" s="135">
        <v>17</v>
      </c>
      <c r="M54" s="135">
        <v>16.5</v>
      </c>
      <c r="N54" s="135">
        <v>16</v>
      </c>
      <c r="O54" s="135">
        <v>15.5</v>
      </c>
      <c r="P54"/>
    </row>
    <row r="55" spans="1:21" x14ac:dyDescent="0.25">
      <c r="B55" s="34"/>
      <c r="C55" s="70" t="s">
        <v>8</v>
      </c>
      <c r="D55" s="127">
        <v>35</v>
      </c>
      <c r="E55" s="128">
        <v>35</v>
      </c>
      <c r="F55" s="135">
        <v>30</v>
      </c>
      <c r="G55" s="135">
        <v>30</v>
      </c>
      <c r="H55" s="135">
        <v>30</v>
      </c>
      <c r="I55" s="135">
        <v>30</v>
      </c>
      <c r="J55" s="135">
        <v>30</v>
      </c>
      <c r="K55" s="135">
        <v>30</v>
      </c>
      <c r="L55" s="135">
        <v>30</v>
      </c>
      <c r="M55" s="135">
        <v>30</v>
      </c>
      <c r="N55" s="135">
        <v>30</v>
      </c>
      <c r="O55" s="135">
        <v>30</v>
      </c>
      <c r="P55"/>
    </row>
    <row r="56" spans="1:21" x14ac:dyDescent="0.25">
      <c r="B56" s="34"/>
      <c r="C56" s="70" t="s">
        <v>82</v>
      </c>
      <c r="D56" s="135">
        <v>70.5</v>
      </c>
      <c r="E56" s="135">
        <v>70.5</v>
      </c>
      <c r="F56" s="135">
        <v>78</v>
      </c>
      <c r="G56" s="135">
        <v>78</v>
      </c>
      <c r="H56" s="135">
        <v>78</v>
      </c>
      <c r="I56" s="135">
        <v>78</v>
      </c>
      <c r="J56" s="135">
        <v>78</v>
      </c>
      <c r="K56" s="135">
        <v>78</v>
      </c>
      <c r="L56" s="135">
        <v>78</v>
      </c>
      <c r="M56" s="135">
        <v>78</v>
      </c>
      <c r="N56" s="135">
        <v>78</v>
      </c>
      <c r="O56" s="135">
        <v>78</v>
      </c>
      <c r="P56"/>
      <c r="S56"/>
    </row>
    <row r="57" spans="1:21" x14ac:dyDescent="0.25">
      <c r="B57" s="34"/>
      <c r="C57" s="70" t="s">
        <v>72</v>
      </c>
      <c r="D57" s="135">
        <v>29</v>
      </c>
      <c r="E57" s="135">
        <v>20</v>
      </c>
      <c r="F57" s="135">
        <v>20.3</v>
      </c>
      <c r="G57" s="135">
        <v>20</v>
      </c>
      <c r="H57" s="135">
        <v>19.7</v>
      </c>
      <c r="I57" s="135">
        <v>19.399999999999999</v>
      </c>
      <c r="J57" s="135">
        <v>19.099999999999998</v>
      </c>
      <c r="K57" s="135">
        <v>18.799999999999997</v>
      </c>
      <c r="L57" s="135">
        <v>18.499999999999996</v>
      </c>
      <c r="M57" s="135">
        <v>18.199999999999996</v>
      </c>
      <c r="N57" s="135">
        <v>17.899999999999995</v>
      </c>
      <c r="O57" s="135">
        <v>17.599999999999994</v>
      </c>
      <c r="P57"/>
      <c r="S57"/>
    </row>
    <row r="58" spans="1:21" ht="15.75" thickBot="1" x14ac:dyDescent="0.3">
      <c r="B58" s="34"/>
      <c r="C58" s="70" t="s">
        <v>94</v>
      </c>
      <c r="D58" s="131">
        <v>34.903333333333329</v>
      </c>
      <c r="E58" s="132">
        <v>34.903333333333329</v>
      </c>
      <c r="F58" s="135">
        <v>35.019999999999996</v>
      </c>
      <c r="G58" s="135">
        <v>33.886666666666663</v>
      </c>
      <c r="H58" s="135">
        <v>32.75333333333333</v>
      </c>
      <c r="I58" s="135">
        <v>31.62</v>
      </c>
      <c r="J58" s="135">
        <v>29.466666666666665</v>
      </c>
      <c r="K58" s="135">
        <v>29.466666666666665</v>
      </c>
      <c r="L58" s="135">
        <v>29.466666666666665</v>
      </c>
      <c r="M58" s="135">
        <v>29.466666666666665</v>
      </c>
      <c r="N58" s="135">
        <v>29.466666666666665</v>
      </c>
      <c r="O58" s="135">
        <v>29.466666666666665</v>
      </c>
      <c r="P58"/>
      <c r="S58"/>
    </row>
    <row r="59" spans="1:21" ht="15.75" thickBot="1" x14ac:dyDescent="0.3">
      <c r="B59" s="34"/>
      <c r="C59" s="70" t="s">
        <v>10</v>
      </c>
      <c r="D59" s="137">
        <v>99.18</v>
      </c>
      <c r="E59" s="138">
        <v>99.18</v>
      </c>
      <c r="F59" s="136">
        <v>100.53</v>
      </c>
      <c r="G59" s="136">
        <v>100.53</v>
      </c>
      <c r="H59" s="136">
        <v>100.53</v>
      </c>
      <c r="I59" s="136">
        <v>100.53</v>
      </c>
      <c r="J59" s="136">
        <v>100.53</v>
      </c>
      <c r="K59" s="136">
        <v>100.53</v>
      </c>
      <c r="L59" s="136">
        <v>100.53</v>
      </c>
      <c r="M59" s="136">
        <v>100.53</v>
      </c>
      <c r="N59" s="136">
        <v>100.53</v>
      </c>
      <c r="O59" s="136">
        <v>100.53</v>
      </c>
      <c r="P59"/>
      <c r="S59"/>
    </row>
    <row r="60" spans="1:21" ht="15.75" thickBot="1" x14ac:dyDescent="0.3">
      <c r="B60" s="34"/>
      <c r="C60" s="70" t="s">
        <v>11</v>
      </c>
      <c r="D60" s="139">
        <v>98.03</v>
      </c>
      <c r="E60" s="140">
        <v>98.03</v>
      </c>
      <c r="F60" s="136">
        <v>102.76</v>
      </c>
      <c r="G60" s="136">
        <v>102.76</v>
      </c>
      <c r="H60" s="136">
        <v>102.76</v>
      </c>
      <c r="I60" s="136">
        <v>102.76</v>
      </c>
      <c r="J60" s="136">
        <v>102.76</v>
      </c>
      <c r="K60" s="136">
        <v>102.76</v>
      </c>
      <c r="L60" s="136">
        <v>102.76</v>
      </c>
      <c r="M60" s="136">
        <v>102.76</v>
      </c>
      <c r="N60" s="136">
        <v>102.76</v>
      </c>
      <c r="O60" s="136">
        <v>102.76</v>
      </c>
      <c r="R60"/>
      <c r="T60"/>
      <c r="U60"/>
    </row>
    <row r="61" spans="1:21" x14ac:dyDescent="0.25">
      <c r="A61" s="34"/>
      <c r="B61" s="39"/>
      <c r="P61" s="147"/>
      <c r="S61"/>
      <c r="U61"/>
    </row>
    <row r="62" spans="1:21" x14ac:dyDescent="0.25">
      <c r="C62" s="33"/>
      <c r="D62" s="155" t="s">
        <v>37</v>
      </c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/>
      <c r="S62"/>
      <c r="U62"/>
    </row>
    <row r="63" spans="1:21" ht="15" customHeight="1" x14ac:dyDescent="0.25">
      <c r="B63" s="34"/>
      <c r="C63" s="36" t="s">
        <v>30</v>
      </c>
      <c r="D63" s="10">
        <v>2014</v>
      </c>
      <c r="E63" s="10">
        <v>2015</v>
      </c>
      <c r="F63" s="10">
        <v>2016</v>
      </c>
      <c r="G63" s="10">
        <v>2017</v>
      </c>
      <c r="H63" s="10">
        <v>2018</v>
      </c>
      <c r="I63" s="10">
        <v>2019</v>
      </c>
      <c r="J63" s="10">
        <v>2020</v>
      </c>
      <c r="K63" s="104">
        <v>2021</v>
      </c>
      <c r="L63" s="104">
        <v>2022</v>
      </c>
      <c r="M63" s="104">
        <v>2023</v>
      </c>
      <c r="N63" s="104">
        <v>2024</v>
      </c>
      <c r="O63" s="104">
        <v>2025</v>
      </c>
      <c r="P63"/>
      <c r="S63"/>
      <c r="U63"/>
    </row>
    <row r="64" spans="1:21" x14ac:dyDescent="0.25">
      <c r="B64" s="34"/>
      <c r="C64" s="36" t="s">
        <v>4</v>
      </c>
      <c r="D64" s="27">
        <f t="shared" ref="D64:O64" si="15">(D3-D44)*D95/10^6</f>
        <v>1.4757467009999996</v>
      </c>
      <c r="E64" s="27">
        <f t="shared" si="15"/>
        <v>1.4339239199999998</v>
      </c>
      <c r="F64" s="27">
        <f t="shared" si="15"/>
        <v>2.4323056757999995</v>
      </c>
      <c r="G64" s="27">
        <f t="shared" si="15"/>
        <v>2.1715201364999994</v>
      </c>
      <c r="H64" s="27">
        <f t="shared" si="15"/>
        <v>1.826024718375</v>
      </c>
      <c r="I64" s="27">
        <f t="shared" si="15"/>
        <v>1.5696839193750001</v>
      </c>
      <c r="J64" s="27">
        <f t="shared" si="15"/>
        <v>1.380722343</v>
      </c>
      <c r="K64" s="27">
        <f t="shared" si="15"/>
        <v>1.232382294</v>
      </c>
      <c r="L64" s="27">
        <f t="shared" si="15"/>
        <v>1.1745142694999999</v>
      </c>
      <c r="M64" s="27">
        <f t="shared" si="15"/>
        <v>1.0530704827499999</v>
      </c>
      <c r="N64" s="27">
        <f t="shared" si="15"/>
        <v>0.919400196</v>
      </c>
      <c r="O64" s="27">
        <f t="shared" si="15"/>
        <v>0.76160335679999991</v>
      </c>
      <c r="P64" s="120"/>
      <c r="Q64" s="120"/>
      <c r="R64" s="120"/>
      <c r="S64"/>
      <c r="U64"/>
    </row>
    <row r="65" spans="2:21" x14ac:dyDescent="0.25">
      <c r="B65" s="69"/>
      <c r="C65" s="70" t="s">
        <v>5</v>
      </c>
      <c r="D65" s="71">
        <f t="shared" ref="D65:O65" si="16">(D3-D45)*D96/1000000</f>
        <v>7.9323575759999987E-3</v>
      </c>
      <c r="E65" s="71">
        <f t="shared" si="16"/>
        <v>0.34552088999999991</v>
      </c>
      <c r="F65" s="71">
        <f t="shared" si="16"/>
        <v>0.86608939560000009</v>
      </c>
      <c r="G65" s="71">
        <f t="shared" si="16"/>
        <v>1.0625062841249999</v>
      </c>
      <c r="H65" s="71">
        <f t="shared" si="16"/>
        <v>1.4593611532499999</v>
      </c>
      <c r="I65" s="71">
        <f t="shared" si="16"/>
        <v>1.6033587570000003</v>
      </c>
      <c r="J65" s="71">
        <f t="shared" si="16"/>
        <v>1.7312357204999997</v>
      </c>
      <c r="K65" s="71">
        <f t="shared" si="16"/>
        <v>1.9439727449999999</v>
      </c>
      <c r="L65" s="71">
        <f t="shared" si="16"/>
        <v>1.9643502449999999</v>
      </c>
      <c r="M65" s="71">
        <f t="shared" si="16"/>
        <v>1.9847277449999998</v>
      </c>
      <c r="N65" s="71">
        <f t="shared" si="16"/>
        <v>2.0051052449999998</v>
      </c>
      <c r="O65" s="71">
        <f t="shared" si="16"/>
        <v>2.0254827449999997</v>
      </c>
      <c r="P65" s="120"/>
      <c r="Q65" s="120"/>
      <c r="R65" s="120"/>
      <c r="S65"/>
      <c r="U65"/>
    </row>
    <row r="66" spans="2:21" x14ac:dyDescent="0.25">
      <c r="B66" s="69"/>
      <c r="C66" s="121" t="s">
        <v>41</v>
      </c>
      <c r="D66" s="71">
        <f t="shared" ref="D66:O66" si="17">(D3-D46)*D97/10^6</f>
        <v>0.21091038539999987</v>
      </c>
      <c r="E66" s="71">
        <f t="shared" si="17"/>
        <v>0.15739580999999991</v>
      </c>
      <c r="F66" s="71">
        <f t="shared" si="17"/>
        <v>0.22111869779999996</v>
      </c>
      <c r="G66" s="71">
        <f t="shared" si="17"/>
        <v>0.21715201364999998</v>
      </c>
      <c r="H66" s="71">
        <f t="shared" si="17"/>
        <v>0.22133632950000001</v>
      </c>
      <c r="I66" s="71">
        <f t="shared" si="17"/>
        <v>0.20929118925000004</v>
      </c>
      <c r="J66" s="71">
        <f t="shared" si="17"/>
        <v>0.19724604900000001</v>
      </c>
      <c r="K66" s="71">
        <f t="shared" si="17"/>
        <v>0.205397049</v>
      </c>
      <c r="L66" s="71">
        <f t="shared" si="17"/>
        <v>0.21354804899999999</v>
      </c>
      <c r="M66" s="71">
        <f t="shared" si="17"/>
        <v>0.22169904900000001</v>
      </c>
      <c r="N66" s="71">
        <f t="shared" si="17"/>
        <v>0.229850049</v>
      </c>
      <c r="O66" s="71">
        <f t="shared" si="17"/>
        <v>0.23800104899999999</v>
      </c>
      <c r="P66" s="120"/>
      <c r="Q66" s="120"/>
      <c r="R66" s="120"/>
      <c r="S66"/>
    </row>
    <row r="67" spans="2:21" x14ac:dyDescent="0.25">
      <c r="B67" s="69"/>
      <c r="C67" s="70" t="s">
        <v>64</v>
      </c>
      <c r="D67" s="71">
        <f t="shared" ref="D67:O67" si="18">(D3-D47)*D98/10^6</f>
        <v>0</v>
      </c>
      <c r="E67" s="71">
        <f t="shared" si="18"/>
        <v>0</v>
      </c>
      <c r="F67" s="71">
        <f t="shared" si="18"/>
        <v>0</v>
      </c>
      <c r="G67" s="71">
        <f t="shared" si="18"/>
        <v>0</v>
      </c>
      <c r="H67" s="71">
        <f t="shared" si="18"/>
        <v>0</v>
      </c>
      <c r="I67" s="71">
        <f t="shared" si="18"/>
        <v>0</v>
      </c>
      <c r="J67" s="71">
        <f t="shared" si="18"/>
        <v>0</v>
      </c>
      <c r="K67" s="71">
        <f t="shared" si="18"/>
        <v>0</v>
      </c>
      <c r="L67" s="71">
        <f t="shared" si="18"/>
        <v>0</v>
      </c>
      <c r="M67" s="71">
        <f t="shared" si="18"/>
        <v>0</v>
      </c>
      <c r="N67" s="71">
        <f t="shared" si="18"/>
        <v>0</v>
      </c>
      <c r="O67" s="71">
        <f t="shared" si="18"/>
        <v>0</v>
      </c>
      <c r="P67" s="120"/>
      <c r="Q67" s="120"/>
      <c r="R67" s="120"/>
      <c r="U67"/>
    </row>
    <row r="68" spans="2:21" x14ac:dyDescent="0.25">
      <c r="B68" s="69"/>
      <c r="C68" s="122" t="s">
        <v>67</v>
      </c>
      <c r="D68" s="71">
        <f t="shared" ref="D68:I68" si="19">(D3-E48)*D99/10^6</f>
        <v>0.12972446915999997</v>
      </c>
      <c r="E68" s="71">
        <f t="shared" si="19"/>
        <v>0.13432847999999997</v>
      </c>
      <c r="F68" s="71">
        <f t="shared" si="19"/>
        <v>0.13358592390000001</v>
      </c>
      <c r="G68" s="71">
        <f t="shared" si="19"/>
        <v>0.19522449911250003</v>
      </c>
      <c r="H68" s="71">
        <f t="shared" si="19"/>
        <v>0.19003077361125004</v>
      </c>
      <c r="I68" s="71">
        <f t="shared" si="19"/>
        <v>0.17873926065888754</v>
      </c>
      <c r="J68" s="71">
        <f t="shared" ref="J68:O68" si="20">(J4-J48)*J99/10^6</f>
        <v>0.18367418172138761</v>
      </c>
      <c r="K68" s="71">
        <f t="shared" si="20"/>
        <v>0.18749121803417371</v>
      </c>
      <c r="L68" s="71">
        <f t="shared" si="20"/>
        <v>0.19127008398383197</v>
      </c>
      <c r="M68" s="71">
        <f t="shared" si="20"/>
        <v>0.19501116127399365</v>
      </c>
      <c r="N68" s="71">
        <f t="shared" si="20"/>
        <v>0.19871482779125371</v>
      </c>
      <c r="O68" s="71">
        <f t="shared" si="20"/>
        <v>0.20238145764334117</v>
      </c>
      <c r="P68"/>
      <c r="U68"/>
    </row>
    <row r="69" spans="2:21" x14ac:dyDescent="0.25">
      <c r="B69" s="34"/>
      <c r="C69" s="36" t="s">
        <v>27</v>
      </c>
      <c r="D69" s="24">
        <f t="shared" ref="D69:O69" si="21">(D3-D49)*D100/10^6</f>
        <v>0</v>
      </c>
      <c r="E69" s="24">
        <f t="shared" si="21"/>
        <v>0</v>
      </c>
      <c r="F69" s="24">
        <f t="shared" si="21"/>
        <v>3.1433434889999994E-2</v>
      </c>
      <c r="G69" s="24">
        <f t="shared" si="21"/>
        <v>9.2482652047500002E-2</v>
      </c>
      <c r="H69" s="24">
        <f t="shared" si="21"/>
        <v>0.30221666475000003</v>
      </c>
      <c r="I69" s="24">
        <f t="shared" si="21"/>
        <v>0.43817789193750001</v>
      </c>
      <c r="J69" s="24">
        <f t="shared" si="21"/>
        <v>0.56404104899999996</v>
      </c>
      <c r="K69" s="24">
        <f t="shared" si="21"/>
        <v>1.1280820979999999</v>
      </c>
      <c r="L69" s="24">
        <f t="shared" si="21"/>
        <v>1.4101026225</v>
      </c>
      <c r="M69" s="24">
        <f t="shared" si="21"/>
        <v>1.6921231469999998</v>
      </c>
      <c r="N69" s="24">
        <f t="shared" si="21"/>
        <v>1.9741436715</v>
      </c>
      <c r="O69" s="24">
        <f t="shared" si="21"/>
        <v>2.2561641959999998</v>
      </c>
      <c r="P69"/>
      <c r="U69"/>
    </row>
    <row r="70" spans="2:21" x14ac:dyDescent="0.25">
      <c r="B70" s="34"/>
      <c r="C70" s="36" t="s">
        <v>6</v>
      </c>
      <c r="D70" s="24">
        <f t="shared" ref="D70:O70" si="22">(D3-D50)*D101/10^6</f>
        <v>3.4412217839999995E-2</v>
      </c>
      <c r="E70" s="24">
        <f t="shared" si="22"/>
        <v>0.12290077799999997</v>
      </c>
      <c r="F70" s="24">
        <f t="shared" si="22"/>
        <v>0.20810415911999999</v>
      </c>
      <c r="G70" s="24">
        <f t="shared" si="22"/>
        <v>0.20407218546</v>
      </c>
      <c r="H70" s="24">
        <f t="shared" si="22"/>
        <v>0.28343227769999996</v>
      </c>
      <c r="I70" s="24">
        <f t="shared" si="22"/>
        <v>0.27294479355000001</v>
      </c>
      <c r="J70" s="24">
        <f t="shared" si="22"/>
        <v>0.26245730940000001</v>
      </c>
      <c r="K70" s="24">
        <f t="shared" si="22"/>
        <v>0.26408750939999998</v>
      </c>
      <c r="L70" s="24">
        <f t="shared" si="22"/>
        <v>0.2657177094</v>
      </c>
      <c r="M70" s="24">
        <f t="shared" si="22"/>
        <v>0.26734790940000003</v>
      </c>
      <c r="N70" s="24">
        <f t="shared" si="22"/>
        <v>0.2689781094</v>
      </c>
      <c r="O70" s="24">
        <f t="shared" si="22"/>
        <v>0.27060830940000002</v>
      </c>
      <c r="P70"/>
      <c r="U70"/>
    </row>
    <row r="71" spans="2:21" x14ac:dyDescent="0.25">
      <c r="B71" s="34"/>
      <c r="C71" s="32" t="s">
        <v>26</v>
      </c>
      <c r="D71" s="24">
        <f t="shared" ref="D71:O71" si="23">(D3-D51)*D102/10^6</f>
        <v>0</v>
      </c>
      <c r="E71" s="24">
        <f t="shared" si="23"/>
        <v>0</v>
      </c>
      <c r="F71" s="24">
        <f t="shared" si="23"/>
        <v>0</v>
      </c>
      <c r="G71" s="24">
        <f t="shared" si="23"/>
        <v>0</v>
      </c>
      <c r="H71" s="24">
        <f t="shared" si="23"/>
        <v>3.5356006750248199E-2</v>
      </c>
      <c r="I71" s="24">
        <f t="shared" si="23"/>
        <v>0.10162524688310084</v>
      </c>
      <c r="J71" s="24">
        <f t="shared" si="23"/>
        <v>0.16197078919242847</v>
      </c>
      <c r="K71" s="24">
        <f t="shared" si="23"/>
        <v>0.32394157838485693</v>
      </c>
      <c r="L71" s="24">
        <f t="shared" si="23"/>
        <v>0.64788315676971386</v>
      </c>
      <c r="M71" s="24">
        <f t="shared" si="23"/>
        <v>0.9718247351545708</v>
      </c>
      <c r="N71" s="24">
        <f t="shared" si="23"/>
        <v>1.2957663135394277</v>
      </c>
      <c r="O71" s="24">
        <f t="shared" si="23"/>
        <v>1.6197078919242849</v>
      </c>
      <c r="P71" s="76"/>
      <c r="Q71" s="116"/>
      <c r="U71"/>
    </row>
    <row r="72" spans="2:21" ht="27" customHeight="1" x14ac:dyDescent="0.25">
      <c r="B72" s="34"/>
      <c r="C72" s="70" t="str">
        <f>A103</f>
        <v>CNG in LDVs and MDVs</v>
      </c>
      <c r="D72" s="141">
        <f>(D3-((D56*0.65)+(D57*0.35)))*D103/10^6</f>
        <v>8.2662809529687672E-2</v>
      </c>
      <c r="E72" s="141">
        <f>(E3-((E56*0.65)+(E57*0.35)))*E103/10^6</f>
        <v>8.8864735217874316E-2</v>
      </c>
      <c r="F72" s="141">
        <f t="shared" ref="F72:O72" si="24">(F3-((F56*0.33)+(F57*0.67)))*F103/10^6</f>
        <v>0.11377442519304885</v>
      </c>
      <c r="G72" s="141">
        <f t="shared" si="24"/>
        <v>0.11124315352288468</v>
      </c>
      <c r="H72" s="141">
        <f t="shared" si="24"/>
        <v>0.1087118818527205</v>
      </c>
      <c r="I72" s="141">
        <f t="shared" si="24"/>
        <v>0.10422926778587005</v>
      </c>
      <c r="J72" s="141">
        <f t="shared" si="24"/>
        <v>9.9746653719019598E-2</v>
      </c>
      <c r="K72" s="141">
        <f t="shared" si="24"/>
        <v>0.10014239564388484</v>
      </c>
      <c r="L72" s="141">
        <f t="shared" si="24"/>
        <v>0.10053813756875009</v>
      </c>
      <c r="M72" s="141">
        <f t="shared" si="24"/>
        <v>0.10093387949361533</v>
      </c>
      <c r="N72" s="141">
        <f t="shared" si="24"/>
        <v>0.10132962141848058</v>
      </c>
      <c r="O72" s="141">
        <f t="shared" si="24"/>
        <v>0.10172536334334581</v>
      </c>
      <c r="P72"/>
      <c r="U72"/>
    </row>
    <row r="73" spans="2:21" x14ac:dyDescent="0.25">
      <c r="B73" s="34"/>
      <c r="C73" s="70" t="s">
        <v>12</v>
      </c>
      <c r="D73" s="24">
        <f t="shared" ref="D73:O73" si="25">2.7*(D3-D52)*D104/10^6</f>
        <v>5.9513641036363643E-4</v>
      </c>
      <c r="E73" s="24">
        <f t="shared" si="25"/>
        <v>6.348121710545454E-3</v>
      </c>
      <c r="F73" s="24">
        <f t="shared" si="25"/>
        <v>1.2940318889018181E-2</v>
      </c>
      <c r="G73" s="24">
        <f t="shared" si="25"/>
        <v>3.2945464166727272E-2</v>
      </c>
      <c r="H73" s="24">
        <f t="shared" si="25"/>
        <v>6.7080262221818177E-2</v>
      </c>
      <c r="I73" s="24">
        <f t="shared" si="25"/>
        <v>0.10065956441727274</v>
      </c>
      <c r="J73" s="24">
        <f t="shared" si="25"/>
        <v>0.1342649806690909</v>
      </c>
      <c r="K73" s="24">
        <f t="shared" si="25"/>
        <v>0.18461434841999999</v>
      </c>
      <c r="L73" s="24">
        <f t="shared" si="25"/>
        <v>0.23496371617090908</v>
      </c>
      <c r="M73" s="24">
        <f t="shared" si="25"/>
        <v>0.30209620650545455</v>
      </c>
      <c r="N73" s="24">
        <f t="shared" si="25"/>
        <v>0.38601181942363638</v>
      </c>
      <c r="O73" s="24">
        <f t="shared" si="25"/>
        <v>0.50349367750909091</v>
      </c>
      <c r="P73"/>
      <c r="U73"/>
    </row>
    <row r="74" spans="2:21" x14ac:dyDescent="0.25">
      <c r="B74" s="34"/>
      <c r="C74" s="70" t="s">
        <v>7</v>
      </c>
      <c r="D74" s="24">
        <f t="shared" ref="D74:O74" si="26">3.4*(D3-D53)*D105/10^6</f>
        <v>0.24422598119487582</v>
      </c>
      <c r="E74" s="24">
        <f t="shared" si="26"/>
        <v>0.36454602593451629</v>
      </c>
      <c r="F74" s="24">
        <f t="shared" si="26"/>
        <v>0.48278601429057116</v>
      </c>
      <c r="G74" s="24">
        <f t="shared" si="26"/>
        <v>0.61072154203545415</v>
      </c>
      <c r="H74" s="24">
        <f t="shared" si="26"/>
        <v>0.78415894428480293</v>
      </c>
      <c r="I74" s="24">
        <f t="shared" si="26"/>
        <v>0.99600267226850792</v>
      </c>
      <c r="J74" s="24">
        <f t="shared" si="26"/>
        <v>1.2599530405699157</v>
      </c>
      <c r="K74" s="24">
        <f t="shared" si="26"/>
        <v>1.5966889009233911</v>
      </c>
      <c r="L74" s="24">
        <f t="shared" si="26"/>
        <v>1.9826957133272956</v>
      </c>
      <c r="M74" s="24">
        <f t="shared" si="26"/>
        <v>2.4188585880956981</v>
      </c>
      <c r="N74" s="24">
        <f t="shared" si="26"/>
        <v>2.9059972821591207</v>
      </c>
      <c r="O74" s="24">
        <f t="shared" si="26"/>
        <v>3.3833525709025603</v>
      </c>
      <c r="P74"/>
      <c r="U74"/>
    </row>
    <row r="75" spans="2:21" x14ac:dyDescent="0.25">
      <c r="B75" s="69"/>
      <c r="C75" s="70" t="s">
        <v>43</v>
      </c>
      <c r="D75" s="72">
        <f t="shared" ref="D75:O75" si="27">SUM(D64:D74)</f>
        <v>2.1862100581109263</v>
      </c>
      <c r="E75" s="72">
        <f t="shared" si="27"/>
        <v>2.6538287608629356</v>
      </c>
      <c r="F75" s="72">
        <f t="shared" si="27"/>
        <v>4.5021380454826376</v>
      </c>
      <c r="G75" s="72">
        <f t="shared" si="27"/>
        <v>4.697867930620065</v>
      </c>
      <c r="H75" s="72">
        <f t="shared" si="27"/>
        <v>5.2777090122958397</v>
      </c>
      <c r="I75" s="72">
        <f t="shared" si="27"/>
        <v>5.5747125631261394</v>
      </c>
      <c r="J75" s="72">
        <f t="shared" si="27"/>
        <v>5.9753121167718417</v>
      </c>
      <c r="K75" s="72">
        <f t="shared" si="27"/>
        <v>7.166800136806307</v>
      </c>
      <c r="L75" s="72">
        <f t="shared" si="27"/>
        <v>8.1855837032204999</v>
      </c>
      <c r="M75" s="72">
        <f t="shared" si="27"/>
        <v>9.2076929036733315</v>
      </c>
      <c r="N75" s="72">
        <f t="shared" si="27"/>
        <v>10.28529713523192</v>
      </c>
      <c r="O75" s="72">
        <f t="shared" si="27"/>
        <v>11.362520617522623</v>
      </c>
      <c r="P75"/>
      <c r="U75"/>
    </row>
    <row r="76" spans="2:21" x14ac:dyDescent="0.25">
      <c r="B76" s="69"/>
      <c r="C76" s="70" t="s">
        <v>45</v>
      </c>
      <c r="D76" s="71">
        <f>(D3-99.18)*D106/10^6</f>
        <v>-1.8907797317568771</v>
      </c>
      <c r="E76" s="71">
        <f>(E3-99.18)*E106/10^6</f>
        <v>-1.8637315052964336</v>
      </c>
      <c r="F76" s="71">
        <f t="shared" ref="F76:O76" si="28">(F3-F59)*F106/10^6</f>
        <v>-5.1412136857121311</v>
      </c>
      <c r="G76" s="71">
        <f t="shared" si="28"/>
        <v>-7.3030258997147914</v>
      </c>
      <c r="H76" s="71">
        <f t="shared" si="28"/>
        <v>-9.407951898141361</v>
      </c>
      <c r="I76" s="71">
        <f t="shared" si="28"/>
        <v>-12.877335185883764</v>
      </c>
      <c r="J76" s="71">
        <f t="shared" si="28"/>
        <v>-16.212695752238172</v>
      </c>
      <c r="K76" s="71">
        <f t="shared" si="28"/>
        <v>-15.800444218222445</v>
      </c>
      <c r="L76" s="71">
        <f t="shared" si="28"/>
        <v>-15.395698396222052</v>
      </c>
      <c r="M76" s="71">
        <f t="shared" si="28"/>
        <v>-15.007780228725911</v>
      </c>
      <c r="N76" s="71">
        <f t="shared" si="28"/>
        <v>-14.61339356858287</v>
      </c>
      <c r="O76" s="71">
        <f t="shared" si="28"/>
        <v>-14.226760029250839</v>
      </c>
      <c r="P76"/>
      <c r="U76"/>
    </row>
    <row r="77" spans="2:21" x14ac:dyDescent="0.25">
      <c r="B77" s="34"/>
      <c r="C77" s="70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/>
      <c r="U77"/>
    </row>
    <row r="78" spans="2:21" x14ac:dyDescent="0.25">
      <c r="B78" s="34"/>
      <c r="C78" s="70"/>
      <c r="D78" s="10">
        <v>2014</v>
      </c>
      <c r="E78" s="10">
        <v>2015</v>
      </c>
      <c r="F78" s="10">
        <v>2016</v>
      </c>
      <c r="G78" s="10">
        <v>2017</v>
      </c>
      <c r="H78" s="10">
        <v>2018</v>
      </c>
      <c r="I78" s="10">
        <v>2019</v>
      </c>
      <c r="J78" s="10">
        <v>2020</v>
      </c>
      <c r="K78" s="104">
        <v>2021</v>
      </c>
      <c r="L78" s="104">
        <v>2022</v>
      </c>
      <c r="M78" s="104">
        <v>2023</v>
      </c>
      <c r="N78" s="104">
        <v>2024</v>
      </c>
      <c r="O78" s="104">
        <v>2025</v>
      </c>
      <c r="P78" s="120"/>
      <c r="Q78" s="120"/>
      <c r="R78" s="120"/>
      <c r="U78"/>
    </row>
    <row r="79" spans="2:21" x14ac:dyDescent="0.25">
      <c r="B79" s="69"/>
      <c r="C79" s="70" t="s">
        <v>79</v>
      </c>
      <c r="D79" s="71">
        <f t="shared" ref="D79:O79" si="29">(D4-D54)*D110/10^6</f>
        <v>0.63262031088279702</v>
      </c>
      <c r="E79" s="71">
        <f t="shared" si="29"/>
        <v>0.9484415789123849</v>
      </c>
      <c r="F79" s="71">
        <f t="shared" si="29"/>
        <v>1.3131494691063783</v>
      </c>
      <c r="G79" s="71">
        <f t="shared" si="29"/>
        <v>1.6076959109195128</v>
      </c>
      <c r="H79" s="71">
        <f t="shared" si="29"/>
        <v>1.7850142147693067</v>
      </c>
      <c r="I79" s="71">
        <f t="shared" si="29"/>
        <v>1.738040156485904</v>
      </c>
      <c r="J79" s="71">
        <f t="shared" si="29"/>
        <v>1.6910660982025012</v>
      </c>
      <c r="K79" s="71">
        <f t="shared" si="29"/>
        <v>1.7497073612311238</v>
      </c>
      <c r="L79" s="71">
        <f t="shared" si="29"/>
        <v>1.7613745659763436</v>
      </c>
      <c r="M79" s="71">
        <f t="shared" si="29"/>
        <v>1.7730417707215633</v>
      </c>
      <c r="N79" s="71">
        <f t="shared" si="29"/>
        <v>1.8329443531821017</v>
      </c>
      <c r="O79" s="71">
        <f t="shared" si="29"/>
        <v>1.8449268877853005</v>
      </c>
      <c r="P79"/>
      <c r="U79"/>
    </row>
    <row r="80" spans="2:21" x14ac:dyDescent="0.25">
      <c r="B80" s="34"/>
      <c r="C80" s="70" t="s">
        <v>8</v>
      </c>
      <c r="D80" s="24">
        <f t="shared" ref="D80:O80" si="30">(D4-D55)*D111/10^6</f>
        <v>0.91710520499999992</v>
      </c>
      <c r="E80" s="24">
        <f t="shared" si="30"/>
        <v>1.4480608499999998</v>
      </c>
      <c r="F80" s="24">
        <f t="shared" si="30"/>
        <v>2.2917193300000003</v>
      </c>
      <c r="G80" s="24">
        <f t="shared" si="30"/>
        <v>2.690110443</v>
      </c>
      <c r="H80" s="24">
        <f t="shared" si="30"/>
        <v>2.805501536</v>
      </c>
      <c r="I80" s="24">
        <f t="shared" si="30"/>
        <v>3.0362837220000007</v>
      </c>
      <c r="J80" s="24">
        <f t="shared" si="30"/>
        <v>3.2404202400000006</v>
      </c>
      <c r="K80" s="24">
        <f t="shared" si="30"/>
        <v>4.0505253000000003</v>
      </c>
      <c r="L80" s="24">
        <f t="shared" si="30"/>
        <v>4.4555778300000011</v>
      </c>
      <c r="M80" s="24">
        <f t="shared" si="30"/>
        <v>4.86063036</v>
      </c>
      <c r="N80" s="24">
        <f t="shared" si="30"/>
        <v>4.86063036</v>
      </c>
      <c r="O80" s="24">
        <f t="shared" si="30"/>
        <v>4.86063036</v>
      </c>
      <c r="P80" s="123"/>
      <c r="Q80" s="118"/>
      <c r="U80"/>
    </row>
    <row r="81" spans="1:21" x14ac:dyDescent="0.25">
      <c r="B81" s="34"/>
      <c r="C81" s="70" t="s">
        <v>73</v>
      </c>
      <c r="D81" s="141">
        <f t="shared" ref="D81:O81" si="31">(D4-(D56/0.9))*D112*0.9/10^6</f>
        <v>0.19548219904500005</v>
      </c>
      <c r="E81" s="141">
        <f t="shared" si="31"/>
        <v>0.1585603005</v>
      </c>
      <c r="F81" s="141">
        <f t="shared" si="31"/>
        <v>0.12742027578000001</v>
      </c>
      <c r="G81" s="141">
        <f t="shared" si="31"/>
        <v>0.11342941186499993</v>
      </c>
      <c r="H81" s="141">
        <f t="shared" si="31"/>
        <v>9.9438547949999956E-2</v>
      </c>
      <c r="I81" s="141">
        <f t="shared" si="31"/>
        <v>7.612044142500006E-2</v>
      </c>
      <c r="J81" s="141">
        <f t="shared" si="31"/>
        <v>3.8721712260000027E-2</v>
      </c>
      <c r="K81" s="141">
        <f t="shared" si="31"/>
        <v>2.4641089620000018E-2</v>
      </c>
      <c r="L81" s="141">
        <f t="shared" si="31"/>
        <v>2.4641089620000018E-2</v>
      </c>
      <c r="M81" s="141">
        <f t="shared" si="31"/>
        <v>2.4641089620000018E-2</v>
      </c>
      <c r="N81" s="141">
        <f t="shared" si="31"/>
        <v>2.4641089620000018E-2</v>
      </c>
      <c r="O81" s="141">
        <f t="shared" si="31"/>
        <v>2.4641089620000018E-2</v>
      </c>
      <c r="P81" s="123"/>
      <c r="Q81" s="118"/>
      <c r="U81"/>
    </row>
    <row r="82" spans="1:21" x14ac:dyDescent="0.25">
      <c r="B82" s="34"/>
      <c r="C82" s="70" t="s">
        <v>72</v>
      </c>
      <c r="D82" s="141">
        <f t="shared" ref="D82:O82" si="32">(D4-(D57/0.9))*D113*0.9/10^6</f>
        <v>0.18358826031</v>
      </c>
      <c r="E82" s="141">
        <f t="shared" si="32"/>
        <v>0.49807351825000001</v>
      </c>
      <c r="F82" s="141">
        <f t="shared" si="32"/>
        <v>0.66204992072799995</v>
      </c>
      <c r="G82" s="141">
        <f t="shared" si="32"/>
        <v>0.83804869423799988</v>
      </c>
      <c r="H82" s="141">
        <f t="shared" si="32"/>
        <v>1.1915082797800001</v>
      </c>
      <c r="I82" s="141">
        <f t="shared" si="32"/>
        <v>1.5121298072300005</v>
      </c>
      <c r="J82" s="141">
        <f t="shared" si="32"/>
        <v>1.9835922503600003</v>
      </c>
      <c r="K82" s="141">
        <f t="shared" si="32"/>
        <v>2.5127499882800008</v>
      </c>
      <c r="L82" s="141">
        <f t="shared" si="32"/>
        <v>2.8726487235600007</v>
      </c>
      <c r="M82" s="141">
        <f t="shared" si="32"/>
        <v>3.2357747388400009</v>
      </c>
      <c r="N82" s="141">
        <f t="shared" si="32"/>
        <v>3.6021280341200006</v>
      </c>
      <c r="O82" s="141">
        <f t="shared" si="32"/>
        <v>3.9717086094000011</v>
      </c>
      <c r="P82"/>
      <c r="U82"/>
    </row>
    <row r="83" spans="1:21" x14ac:dyDescent="0.25">
      <c r="B83" s="34"/>
      <c r="C83" s="70" t="s">
        <v>9</v>
      </c>
      <c r="D83" s="24">
        <f t="shared" ref="D83:O83" si="33">(D4-D58)*D114/10^6</f>
        <v>0</v>
      </c>
      <c r="E83" s="24">
        <f t="shared" si="33"/>
        <v>0</v>
      </c>
      <c r="F83" s="24">
        <f t="shared" si="33"/>
        <v>0.21281880189682187</v>
      </c>
      <c r="G83" s="24">
        <f t="shared" si="33"/>
        <v>0.21149666558683797</v>
      </c>
      <c r="H83" s="24">
        <f t="shared" si="33"/>
        <v>0.21017452927685407</v>
      </c>
      <c r="I83" s="24">
        <f t="shared" si="33"/>
        <v>0.20552296818626381</v>
      </c>
      <c r="J83" s="24">
        <f t="shared" si="33"/>
        <v>0.20417620787050667</v>
      </c>
      <c r="K83" s="24">
        <f t="shared" si="33"/>
        <v>0.20417620787050667</v>
      </c>
      <c r="L83" s="24">
        <f t="shared" si="33"/>
        <v>0.20417620787050667</v>
      </c>
      <c r="M83" s="24">
        <f t="shared" si="33"/>
        <v>0.20417620787050667</v>
      </c>
      <c r="N83" s="24">
        <f t="shared" si="33"/>
        <v>0.20417620787050667</v>
      </c>
      <c r="O83" s="24">
        <f t="shared" si="33"/>
        <v>0.20417620787050667</v>
      </c>
      <c r="P83"/>
      <c r="U83"/>
    </row>
    <row r="84" spans="1:21" x14ac:dyDescent="0.25">
      <c r="B84" s="69"/>
      <c r="C84" s="70" t="s">
        <v>44</v>
      </c>
      <c r="D84" s="71">
        <f t="shared" ref="D84:O84" si="34">SUM(D79:D83)</f>
        <v>1.928795975237797</v>
      </c>
      <c r="E84" s="71">
        <f t="shared" si="34"/>
        <v>3.0531362476623847</v>
      </c>
      <c r="F84" s="71">
        <f t="shared" si="34"/>
        <v>4.607157797511201</v>
      </c>
      <c r="G84" s="71">
        <f t="shared" si="34"/>
        <v>5.4607811256093504</v>
      </c>
      <c r="H84" s="71">
        <f t="shared" si="34"/>
        <v>6.09163710777616</v>
      </c>
      <c r="I84" s="71">
        <f t="shared" si="34"/>
        <v>6.56809709532717</v>
      </c>
      <c r="J84" s="71">
        <f t="shared" si="34"/>
        <v>7.1579765086930092</v>
      </c>
      <c r="K84" s="71">
        <f t="shared" si="34"/>
        <v>8.5417999470016319</v>
      </c>
      <c r="L84" s="71">
        <f t="shared" si="34"/>
        <v>9.3184184170268516</v>
      </c>
      <c r="M84" s="71">
        <f t="shared" si="34"/>
        <v>10.098264167052072</v>
      </c>
      <c r="N84" s="71">
        <f t="shared" si="34"/>
        <v>10.524520044792609</v>
      </c>
      <c r="O84" s="71">
        <f t="shared" si="34"/>
        <v>10.906083154675809</v>
      </c>
      <c r="P84"/>
      <c r="U84"/>
    </row>
    <row r="85" spans="1:21" x14ac:dyDescent="0.25">
      <c r="B85" s="69"/>
      <c r="C85" s="70" t="s">
        <v>46</v>
      </c>
      <c r="D85" s="73">
        <f>(D4-98.03)*D116/10^6</f>
        <v>-0.46207524620999746</v>
      </c>
      <c r="E85" s="73">
        <f>(E4-98.03)*E116/10^6</f>
        <v>-0.44787007205110646</v>
      </c>
      <c r="F85" s="73">
        <f t="shared" ref="F85:O85" si="35">(F4-F60)*F116/10^6</f>
        <v>-0.91581770704689125</v>
      </c>
      <c r="G85" s="73">
        <f t="shared" si="35"/>
        <v>-1.583523643800729</v>
      </c>
      <c r="H85" s="73">
        <f t="shared" si="35"/>
        <v>-2.2487015538336168</v>
      </c>
      <c r="I85" s="73">
        <f t="shared" si="35"/>
        <v>-3.3532074575239221</v>
      </c>
      <c r="J85" s="73">
        <f t="shared" si="35"/>
        <v>-4.4457150065373723</v>
      </c>
      <c r="K85" s="73">
        <f t="shared" si="35"/>
        <v>-4.3353191073545796</v>
      </c>
      <c r="L85" s="73">
        <f t="shared" si="35"/>
        <v>-4.299286822145846</v>
      </c>
      <c r="M85" s="73">
        <f t="shared" si="35"/>
        <v>-4.2645423534409792</v>
      </c>
      <c r="N85" s="73">
        <f t="shared" si="35"/>
        <v>-4.2912385292463595</v>
      </c>
      <c r="O85" s="73">
        <f t="shared" si="35"/>
        <v>-4.3257421050506188</v>
      </c>
      <c r="P85"/>
      <c r="U85"/>
    </row>
    <row r="86" spans="1:21" x14ac:dyDescent="0.25">
      <c r="B86" s="34"/>
      <c r="C86" s="70" t="s">
        <v>42</v>
      </c>
      <c r="D86" s="90">
        <f t="shared" ref="D86:O86" si="36">D75+D76+D84+D85+D87</f>
        <v>1.7621510553818489</v>
      </c>
      <c r="E86" s="90">
        <f t="shared" si="36"/>
        <v>3.3953634311777803</v>
      </c>
      <c r="F86" s="90">
        <f t="shared" si="36"/>
        <v>3.2022644502348161</v>
      </c>
      <c r="G86" s="90">
        <f t="shared" si="36"/>
        <v>1.8720995127138949</v>
      </c>
      <c r="H86" s="90">
        <f t="shared" si="36"/>
        <v>0.53769266809702176</v>
      </c>
      <c r="I86" s="90">
        <f t="shared" si="36"/>
        <v>-3.0377329849543768</v>
      </c>
      <c r="J86" s="90">
        <f t="shared" si="36"/>
        <v>-6.2501221333106924</v>
      </c>
      <c r="K86" s="90">
        <f t="shared" si="36"/>
        <v>-2.9271632417690858</v>
      </c>
      <c r="L86" s="90">
        <f t="shared" si="36"/>
        <v>-0.46598309812054639</v>
      </c>
      <c r="M86" s="90">
        <f t="shared" si="36"/>
        <v>1.9836344885585127</v>
      </c>
      <c r="N86" s="90">
        <f t="shared" si="36"/>
        <v>4.0801850821952996</v>
      </c>
      <c r="O86" s="90">
        <f t="shared" si="36"/>
        <v>6.1161016378969748</v>
      </c>
      <c r="P86"/>
    </row>
    <row r="87" spans="1:21" x14ac:dyDescent="0.25">
      <c r="B87" s="34"/>
      <c r="C87" s="70" t="s">
        <v>68</v>
      </c>
      <c r="D87" s="90">
        <v>0</v>
      </c>
      <c r="E87" s="90">
        <v>0</v>
      </c>
      <c r="F87" s="141">
        <v>0.15</v>
      </c>
      <c r="G87" s="141">
        <v>0.6</v>
      </c>
      <c r="H87" s="141">
        <v>0.82499999999999996</v>
      </c>
      <c r="I87" s="141">
        <v>1.0499999999999998</v>
      </c>
      <c r="J87" s="141">
        <v>1.2750000000000001</v>
      </c>
      <c r="K87" s="141">
        <v>1.4999999999999998</v>
      </c>
      <c r="L87" s="141">
        <v>1.7250000000000001</v>
      </c>
      <c r="M87" s="141">
        <v>1.9499999999999997</v>
      </c>
      <c r="N87" s="141">
        <v>2.1750000000000003</v>
      </c>
      <c r="O87" s="141">
        <v>2.4000000000000004</v>
      </c>
      <c r="P87"/>
      <c r="U87"/>
    </row>
    <row r="88" spans="1:21" x14ac:dyDescent="0.25">
      <c r="B88" s="34"/>
      <c r="C88" s="70" t="s">
        <v>51</v>
      </c>
      <c r="D88" s="90">
        <f t="shared" ref="D88:O88" si="37">D84+D75+D87</f>
        <v>4.1150060333487231</v>
      </c>
      <c r="E88" s="90">
        <f t="shared" si="37"/>
        <v>5.7069650085253203</v>
      </c>
      <c r="F88" s="90">
        <f t="shared" si="37"/>
        <v>9.2592958429938381</v>
      </c>
      <c r="G88" s="90">
        <f t="shared" si="37"/>
        <v>10.758649056229414</v>
      </c>
      <c r="H88" s="90">
        <f t="shared" si="37"/>
        <v>12.194346120071998</v>
      </c>
      <c r="I88" s="90">
        <f t="shared" si="37"/>
        <v>13.19280965845331</v>
      </c>
      <c r="J88" s="90">
        <f t="shared" si="37"/>
        <v>14.40828862546485</v>
      </c>
      <c r="K88" s="90">
        <f t="shared" si="37"/>
        <v>17.208600083807937</v>
      </c>
      <c r="L88" s="90">
        <f t="shared" si="37"/>
        <v>19.229002120247351</v>
      </c>
      <c r="M88" s="90">
        <f t="shared" si="37"/>
        <v>21.255957070725405</v>
      </c>
      <c r="N88" s="90">
        <f t="shared" si="37"/>
        <v>22.984817180024532</v>
      </c>
      <c r="O88" s="90">
        <f t="shared" si="37"/>
        <v>24.668603772198431</v>
      </c>
      <c r="P88"/>
      <c r="Q88"/>
      <c r="R88"/>
      <c r="U88"/>
    </row>
    <row r="89" spans="1:21" s="120" customFormat="1" x14ac:dyDescent="0.25">
      <c r="A89"/>
      <c r="B89" s="34"/>
      <c r="C89" s="70" t="s">
        <v>52</v>
      </c>
      <c r="D89" s="90">
        <f t="shared" ref="D89:O89" si="38">D76+D85</f>
        <v>-2.3528549779668744</v>
      </c>
      <c r="E89" s="90">
        <f t="shared" si="38"/>
        <v>-2.31160157734754</v>
      </c>
      <c r="F89" s="90">
        <f t="shared" si="38"/>
        <v>-6.057031392759022</v>
      </c>
      <c r="G89" s="90">
        <f t="shared" si="38"/>
        <v>-8.8865495435155211</v>
      </c>
      <c r="H89" s="90">
        <f t="shared" si="38"/>
        <v>-11.656653451974979</v>
      </c>
      <c r="I89" s="90">
        <f t="shared" si="38"/>
        <v>-16.230542643407688</v>
      </c>
      <c r="J89" s="90">
        <f t="shared" si="38"/>
        <v>-20.658410758775545</v>
      </c>
      <c r="K89" s="90">
        <f t="shared" si="38"/>
        <v>-20.135763325577024</v>
      </c>
      <c r="L89" s="90">
        <f t="shared" si="38"/>
        <v>-19.694985218367897</v>
      </c>
      <c r="M89" s="90">
        <f t="shared" si="38"/>
        <v>-19.27232258216689</v>
      </c>
      <c r="N89" s="90">
        <f t="shared" si="38"/>
        <v>-18.904632097829229</v>
      </c>
      <c r="O89" s="90">
        <f t="shared" si="38"/>
        <v>-18.552502134301456</v>
      </c>
      <c r="P89"/>
      <c r="Q89"/>
      <c r="R89"/>
    </row>
    <row r="90" spans="1:21" s="120" customFormat="1" x14ac:dyDescent="0.25">
      <c r="B90" s="69"/>
      <c r="C90" s="70"/>
      <c r="D90" s="119">
        <f>3+D86</f>
        <v>4.7621510553818487</v>
      </c>
      <c r="E90" s="119">
        <f t="shared" ref="E90:O90" si="39">D90+E86</f>
        <v>8.157514486559629</v>
      </c>
      <c r="F90" s="119">
        <f t="shared" si="39"/>
        <v>11.359778936794445</v>
      </c>
      <c r="G90" s="119">
        <f t="shared" si="39"/>
        <v>13.23187844950834</v>
      </c>
      <c r="H90" s="119">
        <f t="shared" si="39"/>
        <v>13.769571117605361</v>
      </c>
      <c r="I90" s="119">
        <f t="shared" si="39"/>
        <v>10.731838132650985</v>
      </c>
      <c r="J90" s="119">
        <f t="shared" si="39"/>
        <v>4.4817159993402926</v>
      </c>
      <c r="K90" s="119">
        <f t="shared" si="39"/>
        <v>1.5545527575712068</v>
      </c>
      <c r="L90" s="119">
        <f t="shared" si="39"/>
        <v>1.0885696594506604</v>
      </c>
      <c r="M90" s="119">
        <f t="shared" si="39"/>
        <v>3.0722041480091731</v>
      </c>
      <c r="N90" s="119">
        <f t="shared" si="39"/>
        <v>7.1523892302044727</v>
      </c>
      <c r="O90" s="119">
        <f t="shared" si="39"/>
        <v>13.268490868101448</v>
      </c>
      <c r="P90"/>
      <c r="Q90"/>
    </row>
    <row r="91" spans="1:21" s="120" customFormat="1" x14ac:dyDescent="0.25">
      <c r="A91" s="34"/>
      <c r="B91" s="70"/>
      <c r="C91" s="33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21" s="120" customFormat="1" x14ac:dyDescent="0.25">
      <c r="A92" s="34"/>
      <c r="B92" s="70"/>
      <c r="C92" s="33"/>
      <c r="D92"/>
      <c r="E92"/>
      <c r="F92"/>
      <c r="G92"/>
      <c r="H92"/>
      <c r="I92"/>
      <c r="J92"/>
      <c r="K92"/>
      <c r="L92"/>
      <c r="M92"/>
      <c r="N92"/>
      <c r="O92"/>
      <c r="P92" s="117"/>
      <c r="Q92" s="45"/>
    </row>
    <row r="93" spans="1:21" s="120" customFormat="1" x14ac:dyDescent="0.25">
      <c r="A93"/>
      <c r="B93" s="34"/>
      <c r="C93" s="34"/>
      <c r="D93" s="117" t="s">
        <v>36</v>
      </c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45"/>
      <c r="Q93" s="45"/>
    </row>
    <row r="94" spans="1:21" ht="30" x14ac:dyDescent="0.25">
      <c r="A94" s="112" t="s">
        <v>30</v>
      </c>
      <c r="B94" s="112" t="s">
        <v>25</v>
      </c>
      <c r="C94" s="11" t="s">
        <v>31</v>
      </c>
      <c r="D94" s="6">
        <v>2014</v>
      </c>
      <c r="E94" s="6">
        <v>2015</v>
      </c>
      <c r="F94" s="6">
        <v>2016</v>
      </c>
      <c r="G94" s="6">
        <v>2017</v>
      </c>
      <c r="H94" s="6">
        <v>2018</v>
      </c>
      <c r="I94" s="6">
        <v>2019</v>
      </c>
      <c r="J94" s="6">
        <v>2020</v>
      </c>
      <c r="K94" s="58">
        <v>2021</v>
      </c>
      <c r="L94" s="58">
        <v>2022</v>
      </c>
      <c r="M94" s="58">
        <v>2023</v>
      </c>
      <c r="N94" s="58">
        <v>2024</v>
      </c>
      <c r="O94" s="58">
        <v>2025</v>
      </c>
      <c r="T94"/>
      <c r="U94"/>
    </row>
    <row r="95" spans="1:21" x14ac:dyDescent="0.25">
      <c r="A95" s="2" t="s">
        <v>4</v>
      </c>
      <c r="B95" s="2" t="s">
        <v>38</v>
      </c>
      <c r="C95" s="20">
        <v>81.510000000000005</v>
      </c>
      <c r="D95" s="15">
        <f t="shared" ref="D95:O95" si="40">$C$95*D13</f>
        <v>100664.85</v>
      </c>
      <c r="E95" s="15">
        <f t="shared" si="40"/>
        <v>97812</v>
      </c>
      <c r="F95" s="15">
        <f t="shared" si="40"/>
        <v>89661</v>
      </c>
      <c r="G95" s="15">
        <f t="shared" si="40"/>
        <v>81510</v>
      </c>
      <c r="H95" s="15">
        <f t="shared" si="40"/>
        <v>67245.75</v>
      </c>
      <c r="I95" s="15">
        <f t="shared" si="40"/>
        <v>61132.500000000007</v>
      </c>
      <c r="J95" s="15">
        <f t="shared" si="40"/>
        <v>57057</v>
      </c>
      <c r="K95" s="15">
        <f t="shared" si="40"/>
        <v>48906</v>
      </c>
      <c r="L95" s="15">
        <f t="shared" si="40"/>
        <v>44830.5</v>
      </c>
      <c r="M95" s="15">
        <f t="shared" si="40"/>
        <v>38717.25</v>
      </c>
      <c r="N95" s="15">
        <f t="shared" si="40"/>
        <v>32604.000000000004</v>
      </c>
      <c r="O95" s="15">
        <f t="shared" si="40"/>
        <v>26083.200000000001</v>
      </c>
      <c r="T95"/>
      <c r="U95"/>
    </row>
    <row r="96" spans="1:21" x14ac:dyDescent="0.25">
      <c r="A96" s="2" t="s">
        <v>5</v>
      </c>
      <c r="B96" s="2" t="s">
        <v>38</v>
      </c>
      <c r="C96" s="20">
        <v>81.510000000000005</v>
      </c>
      <c r="D96" s="15">
        <f t="shared" ref="D96:O96" si="41">D14*$C$96</f>
        <v>200.5146</v>
      </c>
      <c r="E96" s="15">
        <f t="shared" si="41"/>
        <v>12226.5</v>
      </c>
      <c r="F96" s="15">
        <f t="shared" si="41"/>
        <v>16302.000000000002</v>
      </c>
      <c r="G96" s="15">
        <f t="shared" si="41"/>
        <v>20377.5</v>
      </c>
      <c r="H96" s="15">
        <f t="shared" si="41"/>
        <v>28528.5</v>
      </c>
      <c r="I96" s="15">
        <f t="shared" si="41"/>
        <v>32604.000000000004</v>
      </c>
      <c r="J96" s="15">
        <f t="shared" si="41"/>
        <v>36679.5</v>
      </c>
      <c r="K96" s="15">
        <f t="shared" si="41"/>
        <v>40755</v>
      </c>
      <c r="L96" s="15">
        <f t="shared" si="41"/>
        <v>40755</v>
      </c>
      <c r="M96" s="15">
        <f t="shared" si="41"/>
        <v>40755</v>
      </c>
      <c r="N96" s="15">
        <f t="shared" si="41"/>
        <v>40755</v>
      </c>
      <c r="O96" s="15">
        <f t="shared" si="41"/>
        <v>40755</v>
      </c>
      <c r="T96"/>
      <c r="U96"/>
    </row>
    <row r="97" spans="1:21" x14ac:dyDescent="0.25">
      <c r="A97" s="26" t="s">
        <v>41</v>
      </c>
      <c r="B97" s="2" t="s">
        <v>38</v>
      </c>
      <c r="C97" s="20">
        <v>81.510000000000005</v>
      </c>
      <c r="D97" s="15">
        <f t="shared" ref="D97:O97" si="42">D15*$C$97</f>
        <v>10922.34</v>
      </c>
      <c r="E97" s="15">
        <f t="shared" si="42"/>
        <v>8151.0000000000009</v>
      </c>
      <c r="F97" s="15">
        <f t="shared" si="42"/>
        <v>8151.0000000000009</v>
      </c>
      <c r="G97" s="15">
        <f t="shared" si="42"/>
        <v>8151.0000000000009</v>
      </c>
      <c r="H97" s="15">
        <f t="shared" si="42"/>
        <v>8151.0000000000009</v>
      </c>
      <c r="I97" s="15">
        <f t="shared" si="42"/>
        <v>8151.0000000000009</v>
      </c>
      <c r="J97" s="15">
        <f t="shared" si="42"/>
        <v>8151.0000000000009</v>
      </c>
      <c r="K97" s="15">
        <f t="shared" si="42"/>
        <v>8151.0000000000009</v>
      </c>
      <c r="L97" s="15">
        <f t="shared" si="42"/>
        <v>8151.0000000000009</v>
      </c>
      <c r="M97" s="15">
        <f t="shared" si="42"/>
        <v>8151.0000000000009</v>
      </c>
      <c r="N97" s="15">
        <f t="shared" si="42"/>
        <v>8151.0000000000009</v>
      </c>
      <c r="O97" s="15">
        <f t="shared" si="42"/>
        <v>8151.0000000000009</v>
      </c>
      <c r="T97"/>
      <c r="U97"/>
    </row>
    <row r="98" spans="1:21" x14ac:dyDescent="0.25">
      <c r="A98" s="89" t="s">
        <v>64</v>
      </c>
      <c r="B98" s="2" t="s">
        <v>38</v>
      </c>
      <c r="C98" s="20">
        <v>81.510000000000005</v>
      </c>
      <c r="D98" s="15">
        <f t="shared" ref="D98:O98" si="43">$C$98*D16</f>
        <v>0</v>
      </c>
      <c r="E98" s="15">
        <f t="shared" si="43"/>
        <v>0</v>
      </c>
      <c r="F98" s="15">
        <f t="shared" si="43"/>
        <v>0</v>
      </c>
      <c r="G98" s="15">
        <f t="shared" si="43"/>
        <v>0</v>
      </c>
      <c r="H98" s="15">
        <f t="shared" si="43"/>
        <v>0</v>
      </c>
      <c r="I98" s="15">
        <f t="shared" si="43"/>
        <v>0</v>
      </c>
      <c r="J98" s="15">
        <f t="shared" si="43"/>
        <v>0</v>
      </c>
      <c r="K98" s="15">
        <f t="shared" si="43"/>
        <v>0</v>
      </c>
      <c r="L98" s="15">
        <f t="shared" si="43"/>
        <v>0</v>
      </c>
      <c r="M98" s="15">
        <f t="shared" si="43"/>
        <v>0</v>
      </c>
      <c r="N98" s="15">
        <f t="shared" si="43"/>
        <v>0</v>
      </c>
      <c r="O98" s="15">
        <f t="shared" si="43"/>
        <v>0</v>
      </c>
      <c r="T98"/>
      <c r="U98"/>
    </row>
    <row r="99" spans="1:21" x14ac:dyDescent="0.25">
      <c r="A99" s="77" t="s">
        <v>67</v>
      </c>
      <c r="B99" s="2" t="s">
        <v>38</v>
      </c>
      <c r="C99" s="20">
        <v>81.510000000000005</v>
      </c>
      <c r="D99" s="15">
        <f t="shared" ref="D99:O99" si="44">$C$99*D17</f>
        <v>3969.5370000000003</v>
      </c>
      <c r="E99" s="15">
        <f t="shared" si="44"/>
        <v>4075.5000000000005</v>
      </c>
      <c r="F99" s="15">
        <f t="shared" si="44"/>
        <v>4075.5000000000005</v>
      </c>
      <c r="G99" s="15">
        <f t="shared" si="44"/>
        <v>6113.25</v>
      </c>
      <c r="H99" s="15">
        <f t="shared" si="44"/>
        <v>6113.25</v>
      </c>
      <c r="I99" s="15">
        <f t="shared" si="44"/>
        <v>6113.25</v>
      </c>
      <c r="J99" s="15">
        <f t="shared" si="44"/>
        <v>6113.25</v>
      </c>
      <c r="K99" s="15">
        <f t="shared" si="44"/>
        <v>6113.25</v>
      </c>
      <c r="L99" s="15">
        <f t="shared" si="44"/>
        <v>6113.25</v>
      </c>
      <c r="M99" s="15">
        <f t="shared" si="44"/>
        <v>6113.25</v>
      </c>
      <c r="N99" s="15">
        <f t="shared" si="44"/>
        <v>6113.25</v>
      </c>
      <c r="O99" s="15">
        <f t="shared" si="44"/>
        <v>6113.25</v>
      </c>
      <c r="T99"/>
      <c r="U99"/>
    </row>
    <row r="100" spans="1:21" x14ac:dyDescent="0.25">
      <c r="A100" s="2" t="s">
        <v>27</v>
      </c>
      <c r="B100" s="2" t="s">
        <v>38</v>
      </c>
      <c r="C100" s="20">
        <v>81.510000000000005</v>
      </c>
      <c r="D100" s="15">
        <f t="shared" ref="D100:O100" si="45">$C$100*D18</f>
        <v>0</v>
      </c>
      <c r="E100" s="15">
        <f t="shared" si="45"/>
        <v>0</v>
      </c>
      <c r="F100" s="15">
        <f t="shared" si="45"/>
        <v>407.55</v>
      </c>
      <c r="G100" s="15">
        <f t="shared" si="45"/>
        <v>1222.6500000000001</v>
      </c>
      <c r="H100" s="15">
        <f t="shared" si="45"/>
        <v>4075.5000000000005</v>
      </c>
      <c r="I100" s="15">
        <f t="shared" si="45"/>
        <v>6113.25</v>
      </c>
      <c r="J100" s="15">
        <f t="shared" si="45"/>
        <v>8151.0000000000009</v>
      </c>
      <c r="K100" s="15">
        <f t="shared" si="45"/>
        <v>16302.000000000002</v>
      </c>
      <c r="L100" s="15">
        <f t="shared" si="45"/>
        <v>20377.5</v>
      </c>
      <c r="M100" s="15">
        <f t="shared" si="45"/>
        <v>24453</v>
      </c>
      <c r="N100" s="15">
        <f t="shared" si="45"/>
        <v>28528.5</v>
      </c>
      <c r="O100" s="15">
        <f t="shared" si="45"/>
        <v>32604.000000000004</v>
      </c>
      <c r="T100"/>
      <c r="U100"/>
    </row>
    <row r="101" spans="1:21" x14ac:dyDescent="0.25">
      <c r="A101" s="2" t="s">
        <v>6</v>
      </c>
      <c r="B101" s="2" t="s">
        <v>38</v>
      </c>
      <c r="C101" s="20">
        <v>81.510000000000005</v>
      </c>
      <c r="D101" s="15">
        <f t="shared" ref="D101:O101" si="46">$C$101*D19</f>
        <v>456.45600000000002</v>
      </c>
      <c r="E101" s="15">
        <f t="shared" si="46"/>
        <v>1630.2</v>
      </c>
      <c r="F101" s="15">
        <f t="shared" si="46"/>
        <v>3260.4</v>
      </c>
      <c r="G101" s="15">
        <f t="shared" si="46"/>
        <v>3260.4</v>
      </c>
      <c r="H101" s="15">
        <f t="shared" si="46"/>
        <v>4890.6000000000004</v>
      </c>
      <c r="I101" s="15">
        <f t="shared" si="46"/>
        <v>4890.6000000000004</v>
      </c>
      <c r="J101" s="15">
        <f t="shared" si="46"/>
        <v>4890.6000000000004</v>
      </c>
      <c r="K101" s="15">
        <f t="shared" si="46"/>
        <v>4890.6000000000004</v>
      </c>
      <c r="L101" s="15">
        <f t="shared" si="46"/>
        <v>4890.6000000000004</v>
      </c>
      <c r="M101" s="15">
        <f t="shared" si="46"/>
        <v>4890.6000000000004</v>
      </c>
      <c r="N101" s="15">
        <f t="shared" si="46"/>
        <v>4890.6000000000004</v>
      </c>
      <c r="O101" s="15">
        <f t="shared" si="46"/>
        <v>4890.6000000000004</v>
      </c>
      <c r="T101"/>
      <c r="U101"/>
    </row>
    <row r="102" spans="1:21" x14ac:dyDescent="0.25">
      <c r="A102" s="7" t="s">
        <v>26</v>
      </c>
      <c r="B102" s="2" t="s">
        <v>38</v>
      </c>
      <c r="C102" s="20">
        <v>119.53784327565342</v>
      </c>
      <c r="D102" s="16">
        <f t="shared" ref="D102:O102" si="47">$C$102*D20</f>
        <v>0</v>
      </c>
      <c r="E102" s="16">
        <f t="shared" si="47"/>
        <v>0</v>
      </c>
      <c r="F102" s="16">
        <f t="shared" si="47"/>
        <v>0</v>
      </c>
      <c r="G102" s="16">
        <f t="shared" si="47"/>
        <v>0</v>
      </c>
      <c r="H102" s="16">
        <f t="shared" si="47"/>
        <v>597.68921637826702</v>
      </c>
      <c r="I102" s="16">
        <f t="shared" si="47"/>
        <v>1793.0676491348013</v>
      </c>
      <c r="J102" s="16">
        <f t="shared" si="47"/>
        <v>2988.4460818913353</v>
      </c>
      <c r="K102" s="16">
        <f t="shared" si="47"/>
        <v>5976.8921637826707</v>
      </c>
      <c r="L102" s="16">
        <f t="shared" si="47"/>
        <v>11953.784327565341</v>
      </c>
      <c r="M102" s="16">
        <f t="shared" si="47"/>
        <v>17930.676491348011</v>
      </c>
      <c r="N102" s="16">
        <f t="shared" si="47"/>
        <v>23907.568655130683</v>
      </c>
      <c r="O102" s="16">
        <f t="shared" si="47"/>
        <v>29884.460818913354</v>
      </c>
      <c r="T102"/>
      <c r="U102"/>
    </row>
    <row r="103" spans="1:21" x14ac:dyDescent="0.25">
      <c r="A103" s="142" t="s">
        <v>83</v>
      </c>
      <c r="B103" s="2" t="s">
        <v>90</v>
      </c>
      <c r="C103" s="20">
        <v>115.81560575511939</v>
      </c>
      <c r="D103" s="143">
        <f t="shared" ref="D103:O103" si="48">D21*$C$103</f>
        <v>1968.8652978370296</v>
      </c>
      <c r="E103" s="143">
        <f t="shared" si="48"/>
        <v>1968.8652978370296</v>
      </c>
      <c r="F103" s="143">
        <f t="shared" si="48"/>
        <v>1968.8652978370296</v>
      </c>
      <c r="G103" s="143">
        <f t="shared" si="48"/>
        <v>1968.8652978370296</v>
      </c>
      <c r="H103" s="143">
        <f t="shared" si="48"/>
        <v>1968.8652978370296</v>
      </c>
      <c r="I103" s="143">
        <f t="shared" si="48"/>
        <v>1968.8652978370296</v>
      </c>
      <c r="J103" s="143">
        <f t="shared" si="48"/>
        <v>1968.8652978370296</v>
      </c>
      <c r="K103" s="143">
        <f t="shared" si="48"/>
        <v>1968.8652978370296</v>
      </c>
      <c r="L103" s="143">
        <f t="shared" si="48"/>
        <v>1968.8652978370296</v>
      </c>
      <c r="M103" s="143">
        <f t="shared" si="48"/>
        <v>1968.8652978370296</v>
      </c>
      <c r="N103" s="143">
        <f t="shared" si="48"/>
        <v>1968.8652978370296</v>
      </c>
      <c r="O103" s="143">
        <f t="shared" si="48"/>
        <v>1968.8652978370296</v>
      </c>
      <c r="T103"/>
      <c r="U103"/>
    </row>
    <row r="104" spans="1:21" s="120" customFormat="1" x14ac:dyDescent="0.25">
      <c r="A104" s="7" t="s">
        <v>12</v>
      </c>
      <c r="B104" s="7" t="s">
        <v>38</v>
      </c>
      <c r="C104" s="47">
        <v>119.54</v>
      </c>
      <c r="D104" s="16">
        <f t="shared" ref="D104:O104" si="49">$C$104*D22</f>
        <v>4.0752272727272727</v>
      </c>
      <c r="E104" s="16">
        <f t="shared" si="49"/>
        <v>43.469090909090909</v>
      </c>
      <c r="F104" s="16">
        <f t="shared" si="49"/>
        <v>86.938181818181818</v>
      </c>
      <c r="G104" s="16">
        <f t="shared" si="49"/>
        <v>217.34545454545454</v>
      </c>
      <c r="H104" s="16">
        <f t="shared" si="49"/>
        <v>434.69090909090909</v>
      </c>
      <c r="I104" s="16">
        <f t="shared" si="49"/>
        <v>652.0363636363636</v>
      </c>
      <c r="J104" s="16">
        <f t="shared" si="49"/>
        <v>869.38181818181818</v>
      </c>
      <c r="K104" s="16">
        <f t="shared" si="49"/>
        <v>1195.4000000000001</v>
      </c>
      <c r="L104" s="16">
        <f t="shared" si="49"/>
        <v>1521.4181818181819</v>
      </c>
      <c r="M104" s="16">
        <f t="shared" si="49"/>
        <v>1956.109090909091</v>
      </c>
      <c r="N104" s="16">
        <f t="shared" si="49"/>
        <v>2499.4727272727273</v>
      </c>
      <c r="O104" s="16">
        <f t="shared" si="49"/>
        <v>3260.181818181818</v>
      </c>
      <c r="P104" s="45"/>
      <c r="Q104" s="45"/>
    </row>
    <row r="105" spans="1:21" ht="15" customHeight="1" x14ac:dyDescent="0.25">
      <c r="A105" s="7" t="s">
        <v>88</v>
      </c>
      <c r="B105" s="7" t="s">
        <v>39</v>
      </c>
      <c r="C105" s="47">
        <v>3600.0008440447891</v>
      </c>
      <c r="D105" s="16">
        <f t="shared" ref="D105:O105" si="50">D23*$C$105*1000/1000000</f>
        <v>1060.0822157566317</v>
      </c>
      <c r="E105" s="16">
        <f t="shared" si="50"/>
        <v>1582.3409001255136</v>
      </c>
      <c r="F105" s="16">
        <f t="shared" si="50"/>
        <v>2144.0525965840679</v>
      </c>
      <c r="G105" s="16">
        <f t="shared" si="50"/>
        <v>2732.2914635902193</v>
      </c>
      <c r="H105" s="16">
        <f t="shared" si="50"/>
        <v>3534.3920130133142</v>
      </c>
      <c r="I105" s="16">
        <f t="shared" si="50"/>
        <v>4593.2406783336264</v>
      </c>
      <c r="J105" s="16">
        <f t="shared" si="50"/>
        <v>5863.612140967959</v>
      </c>
      <c r="K105" s="16">
        <f t="shared" si="50"/>
        <v>7430.7248947693288</v>
      </c>
      <c r="L105" s="16">
        <f t="shared" si="50"/>
        <v>9227.1364742707938</v>
      </c>
      <c r="M105" s="16">
        <f t="shared" si="50"/>
        <v>11256.966035834977</v>
      </c>
      <c r="N105" s="16">
        <f t="shared" si="50"/>
        <v>13524.028592034316</v>
      </c>
      <c r="O105" s="16">
        <f t="shared" si="50"/>
        <v>15745.560805143792</v>
      </c>
      <c r="T105"/>
      <c r="U105"/>
    </row>
    <row r="106" spans="1:21" x14ac:dyDescent="0.25">
      <c r="A106" s="2" t="s">
        <v>48</v>
      </c>
      <c r="B106" s="2" t="s">
        <v>38</v>
      </c>
      <c r="C106" s="20">
        <v>119.53784327565342</v>
      </c>
      <c r="D106" s="15">
        <f t="shared" ref="D106:O106" si="51">D107-(SUM(D95:D104)+D105*3.4)</f>
        <v>1549819.4522597187</v>
      </c>
      <c r="E106" s="15">
        <f t="shared" si="51"/>
        <v>1527648.774833126</v>
      </c>
      <c r="F106" s="15">
        <f t="shared" si="51"/>
        <v>1511143.8732914347</v>
      </c>
      <c r="G106" s="15">
        <f t="shared" si="51"/>
        <v>1493812.6348148917</v>
      </c>
      <c r="H106" s="15">
        <f t="shared" si="51"/>
        <v>1475641.4239104947</v>
      </c>
      <c r="I106" s="15">
        <f t="shared" si="51"/>
        <v>1454531.9725393229</v>
      </c>
      <c r="J106" s="15">
        <f t="shared" si="51"/>
        <v>1430826.5600775015</v>
      </c>
      <c r="K106" s="15">
        <f t="shared" si="51"/>
        <v>1394443.934182547</v>
      </c>
      <c r="L106" s="15">
        <f t="shared" si="51"/>
        <v>1358723.7133723455</v>
      </c>
      <c r="M106" s="15">
        <f t="shared" si="51"/>
        <v>1324488.5913622724</v>
      </c>
      <c r="N106" s="15">
        <f t="shared" si="51"/>
        <v>1289682.6024695849</v>
      </c>
      <c r="O106" s="15">
        <f t="shared" si="51"/>
        <v>1255560.8533448798</v>
      </c>
      <c r="T106"/>
      <c r="U106"/>
    </row>
    <row r="107" spans="1:21" x14ac:dyDescent="0.25">
      <c r="A107" s="2" t="s">
        <v>34</v>
      </c>
      <c r="B107" s="2" t="s">
        <v>38</v>
      </c>
      <c r="C107" s="20">
        <v>115.81560575511939</v>
      </c>
      <c r="D107" s="15">
        <f t="shared" ref="D107:O107" si="52">D6*$C$107</f>
        <v>1671610.3699184009</v>
      </c>
      <c r="E107" s="15">
        <f t="shared" si="52"/>
        <v>1658936.2682822989</v>
      </c>
      <c r="F107" s="15">
        <f t="shared" si="52"/>
        <v>1642346.9055994758</v>
      </c>
      <c r="G107" s="15">
        <f t="shared" si="52"/>
        <v>1625923.436543481</v>
      </c>
      <c r="H107" s="15">
        <f t="shared" si="52"/>
        <v>1609664.2021780461</v>
      </c>
      <c r="I107" s="15">
        <f t="shared" si="52"/>
        <v>1593567.5601562655</v>
      </c>
      <c r="J107" s="15">
        <f t="shared" si="52"/>
        <v>1577631.8845547028</v>
      </c>
      <c r="K107" s="15">
        <f t="shared" si="52"/>
        <v>1553967.4062863823</v>
      </c>
      <c r="L107" s="15">
        <f t="shared" si="52"/>
        <v>1530657.8951920867</v>
      </c>
      <c r="M107" s="15">
        <f t="shared" si="52"/>
        <v>1507698.0267642054</v>
      </c>
      <c r="N107" s="15">
        <f t="shared" si="52"/>
        <v>1485082.5563627421</v>
      </c>
      <c r="O107" s="15">
        <f t="shared" si="52"/>
        <v>1462806.3180173009</v>
      </c>
      <c r="T107"/>
      <c r="U107"/>
    </row>
    <row r="108" spans="1:21" x14ac:dyDescent="0.25">
      <c r="A108" s="18"/>
      <c r="B108" s="18"/>
      <c r="C108" s="21"/>
      <c r="D108" s="19"/>
      <c r="E108" s="19"/>
      <c r="F108" s="19"/>
      <c r="G108" s="19"/>
      <c r="H108" s="19"/>
      <c r="I108" s="19"/>
      <c r="J108" s="19"/>
      <c r="K108" s="45"/>
      <c r="Q108"/>
      <c r="T108"/>
      <c r="U108"/>
    </row>
    <row r="109" spans="1:21" x14ac:dyDescent="0.25">
      <c r="A109" s="14"/>
      <c r="B109" s="14"/>
      <c r="C109" s="22"/>
      <c r="D109" s="1"/>
      <c r="E109" s="1"/>
      <c r="F109" s="1"/>
      <c r="G109" s="1"/>
      <c r="H109" s="1"/>
      <c r="I109" s="1"/>
      <c r="J109" s="1"/>
      <c r="K109" s="45"/>
      <c r="Q109"/>
      <c r="T109"/>
      <c r="U109"/>
    </row>
    <row r="110" spans="1:21" x14ac:dyDescent="0.25">
      <c r="A110" s="2" t="s">
        <v>78</v>
      </c>
      <c r="B110" s="2" t="s">
        <v>38</v>
      </c>
      <c r="C110" s="20">
        <v>126.13194319156545</v>
      </c>
      <c r="D110" s="15">
        <f t="shared" ref="D110:O110" si="53">D30*$C$110</f>
        <v>8160.7367244942852</v>
      </c>
      <c r="E110" s="15">
        <f t="shared" si="53"/>
        <v>12234.79848958185</v>
      </c>
      <c r="F110" s="15">
        <f t="shared" si="53"/>
        <v>16271.020671711944</v>
      </c>
      <c r="G110" s="15">
        <f t="shared" si="53"/>
        <v>20181.110910650474</v>
      </c>
      <c r="H110" s="15">
        <f t="shared" si="53"/>
        <v>22703.749774481781</v>
      </c>
      <c r="I110" s="15">
        <f t="shared" si="53"/>
        <v>22703.749774481781</v>
      </c>
      <c r="J110" s="15">
        <f t="shared" si="53"/>
        <v>22703.749774481781</v>
      </c>
      <c r="K110" s="15">
        <f t="shared" si="53"/>
        <v>23334.409490439608</v>
      </c>
      <c r="L110" s="15">
        <f t="shared" si="53"/>
        <v>23334.409490439608</v>
      </c>
      <c r="M110" s="15">
        <f t="shared" si="53"/>
        <v>23334.409490439608</v>
      </c>
      <c r="N110" s="15">
        <f t="shared" si="53"/>
        <v>23965.069206397435</v>
      </c>
      <c r="O110" s="15">
        <f t="shared" si="53"/>
        <v>23965.069206397435</v>
      </c>
      <c r="Q110"/>
      <c r="T110"/>
      <c r="U110"/>
    </row>
    <row r="111" spans="1:21" x14ac:dyDescent="0.25">
      <c r="A111" s="2" t="s">
        <v>8</v>
      </c>
      <c r="B111" s="2" t="s">
        <v>38</v>
      </c>
      <c r="C111" s="20">
        <v>129.65</v>
      </c>
      <c r="D111" s="15">
        <f t="shared" ref="D111:O111" si="54">$C$111*D31</f>
        <v>14780.1</v>
      </c>
      <c r="E111" s="15">
        <f t="shared" si="54"/>
        <v>23337</v>
      </c>
      <c r="F111" s="15">
        <f t="shared" si="54"/>
        <v>32412.5</v>
      </c>
      <c r="G111" s="15">
        <f t="shared" si="54"/>
        <v>38895</v>
      </c>
      <c r="H111" s="15">
        <f t="shared" si="54"/>
        <v>41488</v>
      </c>
      <c r="I111" s="15">
        <f t="shared" si="54"/>
        <v>46674</v>
      </c>
      <c r="J111" s="15">
        <f t="shared" si="54"/>
        <v>51860</v>
      </c>
      <c r="K111" s="15">
        <f t="shared" si="54"/>
        <v>64825</v>
      </c>
      <c r="L111" s="15">
        <f t="shared" si="54"/>
        <v>71307.5</v>
      </c>
      <c r="M111" s="15">
        <f t="shared" si="54"/>
        <v>77790</v>
      </c>
      <c r="N111" s="15">
        <f t="shared" si="54"/>
        <v>77790</v>
      </c>
      <c r="O111" s="15">
        <f t="shared" si="54"/>
        <v>77790</v>
      </c>
      <c r="Q111"/>
      <c r="T111"/>
      <c r="U111"/>
    </row>
    <row r="112" spans="1:21" x14ac:dyDescent="0.25">
      <c r="A112" s="2" t="s">
        <v>74</v>
      </c>
      <c r="B112" s="2" t="s">
        <v>91</v>
      </c>
      <c r="C112" s="20">
        <v>134.47</v>
      </c>
      <c r="D112" s="15">
        <f t="shared" ref="D112:O112" si="55">D32*$C$112</f>
        <v>11604.761000000002</v>
      </c>
      <c r="E112" s="15">
        <f t="shared" si="55"/>
        <v>9412.9</v>
      </c>
      <c r="F112" s="15">
        <f t="shared" si="55"/>
        <v>10085.25</v>
      </c>
      <c r="G112" s="15">
        <f t="shared" si="55"/>
        <v>10085.25</v>
      </c>
      <c r="H112" s="15">
        <f t="shared" si="55"/>
        <v>10085.25</v>
      </c>
      <c r="I112" s="15">
        <f t="shared" si="55"/>
        <v>10085.25</v>
      </c>
      <c r="J112" s="15">
        <f t="shared" si="55"/>
        <v>7395.85</v>
      </c>
      <c r="K112" s="15">
        <f t="shared" si="55"/>
        <v>4706.45</v>
      </c>
      <c r="L112" s="15">
        <f t="shared" si="55"/>
        <v>4706.45</v>
      </c>
      <c r="M112" s="15">
        <f t="shared" si="55"/>
        <v>4706.45</v>
      </c>
      <c r="N112" s="15">
        <f t="shared" si="55"/>
        <v>4706.45</v>
      </c>
      <c r="O112" s="15">
        <f t="shared" si="55"/>
        <v>4706.45</v>
      </c>
      <c r="Q112"/>
      <c r="U112"/>
    </row>
    <row r="113" spans="1:21" x14ac:dyDescent="0.25">
      <c r="A113" s="7" t="s">
        <v>72</v>
      </c>
      <c r="B113" s="2" t="s">
        <v>91</v>
      </c>
      <c r="C113" s="20">
        <v>134.47</v>
      </c>
      <c r="D113" s="16">
        <f t="shared" ref="D113:O113" si="56">D33*$C$113</f>
        <v>3146.598</v>
      </c>
      <c r="E113" s="16">
        <f t="shared" si="56"/>
        <v>7395.85</v>
      </c>
      <c r="F113" s="16">
        <f t="shared" si="56"/>
        <v>9412.9</v>
      </c>
      <c r="G113" s="16">
        <f t="shared" si="56"/>
        <v>12102.3</v>
      </c>
      <c r="H113" s="16">
        <f t="shared" si="56"/>
        <v>17481.099999999999</v>
      </c>
      <c r="I113" s="16">
        <f t="shared" si="56"/>
        <v>22859.9</v>
      </c>
      <c r="J113" s="16">
        <f t="shared" si="56"/>
        <v>30928.1</v>
      </c>
      <c r="K113" s="16">
        <f t="shared" si="56"/>
        <v>38996.300000000003</v>
      </c>
      <c r="L113" s="16">
        <f t="shared" si="56"/>
        <v>44375.1</v>
      </c>
      <c r="M113" s="16">
        <f t="shared" si="56"/>
        <v>49753.9</v>
      </c>
      <c r="N113" s="16">
        <f t="shared" si="56"/>
        <v>55132.7</v>
      </c>
      <c r="O113" s="16">
        <f t="shared" si="56"/>
        <v>60511.5</v>
      </c>
      <c r="Q113"/>
      <c r="R113"/>
      <c r="S113"/>
      <c r="T113"/>
      <c r="U113"/>
    </row>
    <row r="114" spans="1:21" x14ac:dyDescent="0.25">
      <c r="A114" s="2" t="s">
        <v>9</v>
      </c>
      <c r="B114" s="2" t="s">
        <v>39</v>
      </c>
      <c r="C114" s="23">
        <v>3600.0008440447891</v>
      </c>
      <c r="D114" s="15">
        <f t="shared" ref="D114:O114" si="57">D34*$C$114*1000/10^6</f>
        <v>0</v>
      </c>
      <c r="E114" s="15">
        <f t="shared" si="57"/>
        <v>0</v>
      </c>
      <c r="F114" s="15">
        <f t="shared" si="57"/>
        <v>3240.0007596403102</v>
      </c>
      <c r="G114" s="15">
        <f t="shared" si="57"/>
        <v>3240.0007596403102</v>
      </c>
      <c r="H114" s="15">
        <f t="shared" si="57"/>
        <v>3240.0007596403102</v>
      </c>
      <c r="I114" s="15">
        <f t="shared" si="57"/>
        <v>3240.0007596403102</v>
      </c>
      <c r="J114" s="15">
        <f t="shared" si="57"/>
        <v>3240.0007596403102</v>
      </c>
      <c r="K114" s="15">
        <f t="shared" si="57"/>
        <v>3240.0007596403102</v>
      </c>
      <c r="L114" s="15">
        <f t="shared" si="57"/>
        <v>3240.0007596403102</v>
      </c>
      <c r="M114" s="15">
        <f t="shared" si="57"/>
        <v>3240.0007596403102</v>
      </c>
      <c r="N114" s="15">
        <f t="shared" si="57"/>
        <v>3240.0007596403102</v>
      </c>
      <c r="O114" s="15">
        <f t="shared" si="57"/>
        <v>3240.0007596403102</v>
      </c>
      <c r="Q114"/>
      <c r="R114"/>
      <c r="S114"/>
      <c r="T114"/>
      <c r="U114"/>
    </row>
    <row r="115" spans="1:21" ht="18" customHeight="1" x14ac:dyDescent="0.25">
      <c r="A115" s="66" t="s">
        <v>50</v>
      </c>
      <c r="B115" s="66" t="s">
        <v>38</v>
      </c>
      <c r="C115" s="67">
        <v>134.47</v>
      </c>
      <c r="D115" s="49">
        <f t="shared" ref="D115:O115" si="58">D7*$C$115</f>
        <v>509197.549</v>
      </c>
      <c r="E115" s="49">
        <f t="shared" si="58"/>
        <v>509390.82609274989</v>
      </c>
      <c r="F115" s="49">
        <f t="shared" si="58"/>
        <v>517031.68848414108</v>
      </c>
      <c r="G115" s="49">
        <f t="shared" si="58"/>
        <v>524787.16381140321</v>
      </c>
      <c r="H115" s="49">
        <f t="shared" si="58"/>
        <v>532658.97126857413</v>
      </c>
      <c r="I115" s="49">
        <f t="shared" si="58"/>
        <v>540648.85583760263</v>
      </c>
      <c r="J115" s="49">
        <f t="shared" si="58"/>
        <v>548758.58867516671</v>
      </c>
      <c r="K115" s="49">
        <f t="shared" si="58"/>
        <v>556989.96750529413</v>
      </c>
      <c r="L115" s="49">
        <f t="shared" si="58"/>
        <v>565344.81701787352</v>
      </c>
      <c r="M115" s="49">
        <f t="shared" si="58"/>
        <v>573824.98927314149</v>
      </c>
      <c r="N115" s="49">
        <f t="shared" si="58"/>
        <v>582432.36411223863</v>
      </c>
      <c r="O115" s="49">
        <f t="shared" si="58"/>
        <v>591168.84957392211</v>
      </c>
      <c r="Q115"/>
      <c r="R115"/>
      <c r="S115"/>
      <c r="T115"/>
      <c r="U115"/>
    </row>
    <row r="116" spans="1:21" x14ac:dyDescent="0.25">
      <c r="A116" s="66" t="s">
        <v>49</v>
      </c>
      <c r="B116" s="66" t="s">
        <v>38</v>
      </c>
      <c r="C116" s="67">
        <v>134.47</v>
      </c>
      <c r="D116" s="49">
        <f t="shared" ref="D116:O116" si="59">D115-SUM(D110:D114)</f>
        <v>471505.35327550571</v>
      </c>
      <c r="E116" s="49">
        <f t="shared" si="59"/>
        <v>457010.27760316804</v>
      </c>
      <c r="F116" s="49">
        <f t="shared" si="59"/>
        <v>445610.01705278881</v>
      </c>
      <c r="G116" s="49">
        <f t="shared" si="59"/>
        <v>440283.5021411124</v>
      </c>
      <c r="H116" s="49">
        <f t="shared" si="59"/>
        <v>437660.87073445204</v>
      </c>
      <c r="I116" s="49">
        <f t="shared" si="59"/>
        <v>435085.95530348056</v>
      </c>
      <c r="J116" s="49">
        <f t="shared" si="59"/>
        <v>432630.88814104459</v>
      </c>
      <c r="K116" s="49">
        <f t="shared" si="59"/>
        <v>421887.8072552142</v>
      </c>
      <c r="L116" s="49">
        <f t="shared" si="59"/>
        <v>418381.35676779365</v>
      </c>
      <c r="M116" s="49">
        <f t="shared" si="59"/>
        <v>415000.22902306158</v>
      </c>
      <c r="N116" s="49">
        <f t="shared" si="59"/>
        <v>417598.14414620091</v>
      </c>
      <c r="O116" s="49">
        <f t="shared" si="59"/>
        <v>420955.8296078844</v>
      </c>
      <c r="Q116"/>
      <c r="R116"/>
      <c r="S116"/>
      <c r="T116"/>
      <c r="U116"/>
    </row>
    <row r="117" spans="1:21" x14ac:dyDescent="0.25">
      <c r="A117" s="79"/>
      <c r="B117" s="79"/>
      <c r="C117" s="80"/>
      <c r="D117" s="81"/>
      <c r="E117" s="81"/>
      <c r="F117" s="81"/>
      <c r="G117" s="81"/>
      <c r="H117" s="81"/>
      <c r="I117" s="81"/>
      <c r="J117" s="81"/>
      <c r="K117" s="45"/>
      <c r="Q117"/>
      <c r="R117"/>
      <c r="S117"/>
      <c r="T117"/>
      <c r="U117"/>
    </row>
    <row r="118" spans="1:21" x14ac:dyDescent="0.25">
      <c r="A118" s="79"/>
      <c r="B118" s="79"/>
      <c r="C118" s="80"/>
      <c r="D118" s="81"/>
      <c r="E118" s="81"/>
      <c r="F118" s="81"/>
      <c r="G118" s="81"/>
      <c r="H118" s="81"/>
      <c r="I118" s="81"/>
      <c r="J118" s="81"/>
      <c r="K118" s="45"/>
      <c r="P118"/>
      <c r="Q118"/>
      <c r="R118"/>
      <c r="S118"/>
      <c r="T118"/>
      <c r="U118"/>
    </row>
    <row r="119" spans="1:21" x14ac:dyDescent="0.25">
      <c r="A119" s="152" t="s">
        <v>21</v>
      </c>
      <c r="B119" s="152"/>
      <c r="C119" s="152" t="s">
        <v>22</v>
      </c>
      <c r="D119" s="152"/>
      <c r="F119" s="124"/>
      <c r="G119" s="124"/>
      <c r="H119" s="124"/>
      <c r="I119" s="124"/>
      <c r="J119" s="124"/>
      <c r="K119" s="124"/>
      <c r="L119" s="124"/>
      <c r="M119" s="124"/>
      <c r="N119" s="124"/>
      <c r="O119"/>
      <c r="P119"/>
      <c r="Q119"/>
      <c r="R119"/>
      <c r="S119"/>
      <c r="T119"/>
      <c r="U119"/>
    </row>
    <row r="120" spans="1:21" ht="30" x14ac:dyDescent="0.25">
      <c r="A120" s="2" t="s">
        <v>14</v>
      </c>
      <c r="B120" s="8" t="s">
        <v>15</v>
      </c>
      <c r="C120" s="2" t="s">
        <v>14</v>
      </c>
      <c r="D120" s="8" t="s">
        <v>16</v>
      </c>
      <c r="L120"/>
      <c r="M120"/>
      <c r="N120"/>
      <c r="O120"/>
      <c r="P120"/>
      <c r="Q120"/>
      <c r="R120"/>
      <c r="S120"/>
      <c r="T120"/>
      <c r="U120"/>
    </row>
    <row r="121" spans="1:21" x14ac:dyDescent="0.25">
      <c r="A121" s="5" t="s">
        <v>17</v>
      </c>
      <c r="B121" s="113">
        <v>1</v>
      </c>
      <c r="C121" s="5" t="s">
        <v>23</v>
      </c>
      <c r="D121" s="113">
        <v>1</v>
      </c>
      <c r="L121"/>
      <c r="M121"/>
      <c r="N121"/>
      <c r="O121"/>
      <c r="P121"/>
      <c r="Q121"/>
      <c r="R121"/>
      <c r="S121"/>
      <c r="T121"/>
      <c r="U121"/>
    </row>
    <row r="122" spans="1:21" x14ac:dyDescent="0.25">
      <c r="A122" s="5" t="s">
        <v>87</v>
      </c>
      <c r="B122" s="113">
        <v>1</v>
      </c>
      <c r="C122" s="5" t="s">
        <v>24</v>
      </c>
      <c r="D122" s="113">
        <v>0.9</v>
      </c>
      <c r="L122"/>
      <c r="M122"/>
      <c r="N122"/>
      <c r="O122"/>
      <c r="P122"/>
      <c r="Q122"/>
      <c r="R122"/>
      <c r="S122"/>
      <c r="T122"/>
      <c r="U122"/>
    </row>
    <row r="123" spans="1:21" x14ac:dyDescent="0.25">
      <c r="A123" s="5" t="s">
        <v>19</v>
      </c>
      <c r="B123" s="113">
        <v>3.4</v>
      </c>
      <c r="C123" s="5" t="s">
        <v>19</v>
      </c>
      <c r="D123" s="113">
        <v>3</v>
      </c>
      <c r="L123"/>
      <c r="M123"/>
      <c r="N123" t="s">
        <v>57</v>
      </c>
      <c r="O123"/>
      <c r="P123"/>
      <c r="Q123"/>
      <c r="R123"/>
      <c r="S123"/>
      <c r="T123"/>
      <c r="U123"/>
    </row>
    <row r="124" spans="1:21" x14ac:dyDescent="0.25">
      <c r="A124" s="5" t="s">
        <v>20</v>
      </c>
      <c r="B124" s="113">
        <v>2.5</v>
      </c>
      <c r="C124" s="5" t="s">
        <v>20</v>
      </c>
      <c r="D124" s="113">
        <v>1.9</v>
      </c>
      <c r="L124"/>
      <c r="M124"/>
      <c r="N124"/>
      <c r="O124"/>
      <c r="P124"/>
      <c r="Q124"/>
      <c r="R124"/>
      <c r="S124"/>
      <c r="T124"/>
      <c r="U124"/>
    </row>
    <row r="125" spans="1:21" x14ac:dyDescent="0.25">
      <c r="L125"/>
      <c r="M125"/>
      <c r="N125"/>
      <c r="O125"/>
      <c r="P125"/>
      <c r="Q125"/>
      <c r="R125"/>
      <c r="S125"/>
      <c r="T125"/>
      <c r="U125"/>
    </row>
    <row r="126" spans="1:21" x14ac:dyDescent="0.25">
      <c r="L126"/>
      <c r="M126"/>
      <c r="N126"/>
      <c r="O126"/>
      <c r="P126"/>
      <c r="Q126"/>
      <c r="R126"/>
      <c r="S126"/>
      <c r="T126"/>
      <c r="U126"/>
    </row>
    <row r="127" spans="1:21" x14ac:dyDescent="0.25">
      <c r="L127"/>
      <c r="M127"/>
      <c r="N127"/>
      <c r="O127"/>
      <c r="P127"/>
      <c r="Q127"/>
      <c r="R127"/>
      <c r="S127"/>
      <c r="T127"/>
      <c r="U127"/>
    </row>
    <row r="128" spans="1:21" x14ac:dyDescent="0.25">
      <c r="L128"/>
      <c r="M128"/>
      <c r="N128"/>
      <c r="O128"/>
      <c r="P128"/>
      <c r="Q128"/>
      <c r="R128"/>
      <c r="S128"/>
      <c r="T128"/>
      <c r="U128"/>
    </row>
    <row r="129" spans="12:21" x14ac:dyDescent="0.25">
      <c r="L129"/>
      <c r="M129"/>
      <c r="N129"/>
      <c r="O129"/>
      <c r="P129"/>
      <c r="Q129"/>
      <c r="R129"/>
      <c r="S129"/>
      <c r="T129"/>
      <c r="U129"/>
    </row>
    <row r="130" spans="12:21" x14ac:dyDescent="0.25">
      <c r="L130"/>
      <c r="M130"/>
      <c r="N130"/>
      <c r="O130"/>
      <c r="P130"/>
      <c r="Q130"/>
      <c r="R130"/>
      <c r="S130"/>
      <c r="T130"/>
      <c r="U130"/>
    </row>
    <row r="131" spans="12:21" x14ac:dyDescent="0.25">
      <c r="L131"/>
      <c r="M131"/>
      <c r="N131"/>
      <c r="O131"/>
      <c r="P131"/>
      <c r="Q131"/>
      <c r="R131"/>
      <c r="S131"/>
      <c r="T131"/>
      <c r="U131"/>
    </row>
    <row r="132" spans="12:21" x14ac:dyDescent="0.25">
      <c r="L132"/>
      <c r="M132"/>
      <c r="N132"/>
      <c r="O132"/>
      <c r="P132"/>
      <c r="Q132"/>
      <c r="R132"/>
      <c r="S132"/>
      <c r="T132"/>
      <c r="U132"/>
    </row>
    <row r="133" spans="12:21" x14ac:dyDescent="0.25">
      <c r="L133"/>
      <c r="M133"/>
      <c r="N133"/>
      <c r="O133"/>
      <c r="P133"/>
      <c r="Q133"/>
      <c r="R133"/>
      <c r="S133"/>
      <c r="T133"/>
      <c r="U133"/>
    </row>
    <row r="134" spans="12:21" x14ac:dyDescent="0.25">
      <c r="L134"/>
      <c r="M134"/>
      <c r="N134"/>
      <c r="O134"/>
      <c r="P134"/>
      <c r="Q134"/>
      <c r="R134"/>
      <c r="S134"/>
      <c r="T134"/>
      <c r="U134"/>
    </row>
    <row r="135" spans="12:21" x14ac:dyDescent="0.25">
      <c r="L135"/>
      <c r="M135"/>
      <c r="N135"/>
      <c r="O135"/>
      <c r="P135"/>
      <c r="Q135"/>
      <c r="R135"/>
      <c r="S135"/>
      <c r="T135"/>
      <c r="U135"/>
    </row>
    <row r="136" spans="12:21" x14ac:dyDescent="0.25">
      <c r="L136"/>
      <c r="M136"/>
      <c r="N136"/>
      <c r="O136"/>
      <c r="P136"/>
      <c r="Q136"/>
      <c r="R136"/>
      <c r="S136"/>
      <c r="T136"/>
      <c r="U136"/>
    </row>
    <row r="137" spans="12:21" x14ac:dyDescent="0.25">
      <c r="L137"/>
      <c r="M137"/>
      <c r="N137"/>
      <c r="O137"/>
      <c r="P137"/>
      <c r="Q137"/>
      <c r="R137"/>
      <c r="S137"/>
      <c r="T137"/>
      <c r="U137"/>
    </row>
    <row r="138" spans="12:21" x14ac:dyDescent="0.25">
      <c r="L138"/>
      <c r="M138"/>
      <c r="N138"/>
      <c r="O138"/>
      <c r="P138"/>
      <c r="Q138"/>
      <c r="R138"/>
      <c r="S138"/>
      <c r="T138"/>
      <c r="U138"/>
    </row>
    <row r="139" spans="12:21" x14ac:dyDescent="0.25">
      <c r="L139"/>
      <c r="M139"/>
      <c r="N139"/>
      <c r="O139"/>
      <c r="P139"/>
      <c r="Q139"/>
      <c r="R139"/>
      <c r="S139"/>
      <c r="T139"/>
      <c r="U139"/>
    </row>
    <row r="140" spans="12:21" x14ac:dyDescent="0.25">
      <c r="L140"/>
      <c r="M140"/>
      <c r="N140"/>
      <c r="O140"/>
      <c r="P140"/>
      <c r="Q140"/>
      <c r="R140"/>
      <c r="S140"/>
      <c r="T140"/>
      <c r="U140"/>
    </row>
    <row r="141" spans="12:21" x14ac:dyDescent="0.25">
      <c r="L141"/>
      <c r="M141"/>
      <c r="N141"/>
      <c r="O141"/>
      <c r="P141"/>
      <c r="Q141"/>
      <c r="R141"/>
      <c r="S141"/>
      <c r="T141"/>
      <c r="U141"/>
    </row>
    <row r="142" spans="12:21" x14ac:dyDescent="0.25">
      <c r="L142"/>
      <c r="M142"/>
      <c r="N142"/>
      <c r="O142"/>
      <c r="P142"/>
      <c r="Q142"/>
      <c r="R142"/>
      <c r="S142"/>
      <c r="T142"/>
      <c r="U142"/>
    </row>
    <row r="143" spans="12:21" x14ac:dyDescent="0.25">
      <c r="L143"/>
      <c r="M143"/>
      <c r="N143"/>
      <c r="O143"/>
      <c r="P143"/>
      <c r="Q143"/>
      <c r="R143"/>
      <c r="S143"/>
      <c r="T143"/>
      <c r="U143"/>
    </row>
    <row r="144" spans="12:21" x14ac:dyDescent="0.25">
      <c r="L144"/>
      <c r="M144"/>
      <c r="N144"/>
      <c r="O144"/>
      <c r="P144"/>
      <c r="Q144"/>
      <c r="R144"/>
    </row>
    <row r="145" spans="12:15" x14ac:dyDescent="0.25">
      <c r="L145"/>
      <c r="M145"/>
      <c r="N145"/>
      <c r="O145"/>
    </row>
    <row r="146" spans="12:15" x14ac:dyDescent="0.25">
      <c r="L146"/>
      <c r="M146"/>
    </row>
    <row r="147" spans="12:15" x14ac:dyDescent="0.25">
      <c r="L147"/>
      <c r="M147"/>
    </row>
    <row r="148" spans="12:15" x14ac:dyDescent="0.25">
      <c r="L148"/>
      <c r="M148"/>
    </row>
    <row r="149" spans="12:15" x14ac:dyDescent="0.25">
      <c r="L149"/>
    </row>
  </sheetData>
  <mergeCells count="6">
    <mergeCell ref="B1:O1"/>
    <mergeCell ref="D62:O62"/>
    <mergeCell ref="A119:B119"/>
    <mergeCell ref="C119:D119"/>
    <mergeCell ref="A12:B12"/>
    <mergeCell ref="D42:O42"/>
  </mergeCells>
  <pageMargins left="0.7" right="0.7" top="0.75" bottom="0.75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0"/>
  <sheetViews>
    <sheetView tabSelected="1" zoomScale="80" zoomScaleNormal="80" workbookViewId="0">
      <selection activeCell="A8" sqref="A8"/>
    </sheetView>
  </sheetViews>
  <sheetFormatPr defaultRowHeight="15" x14ac:dyDescent="0.25"/>
  <cols>
    <col min="1" max="1" width="28.42578125" customWidth="1"/>
    <col min="2" max="2" width="21.85546875" customWidth="1"/>
    <col min="3" max="3" width="12.5703125" customWidth="1"/>
    <col min="4" max="10" width="11.7109375" customWidth="1"/>
    <col min="11" max="11" width="11.28515625" customWidth="1"/>
    <col min="12" max="16" width="11" style="45" customWidth="1"/>
    <col min="17" max="21" width="9.140625" style="45"/>
  </cols>
  <sheetData>
    <row r="1" spans="1:21" ht="58.5" customHeight="1" x14ac:dyDescent="0.35">
      <c r="A1" s="144">
        <v>42146</v>
      </c>
      <c r="B1" s="160" t="s">
        <v>104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R1"/>
      <c r="S1"/>
      <c r="T1"/>
      <c r="U1"/>
    </row>
    <row r="2" spans="1:21" x14ac:dyDescent="0.25">
      <c r="B2" s="66"/>
      <c r="C2" s="66"/>
      <c r="D2" s="175">
        <v>2014</v>
      </c>
      <c r="E2" s="175">
        <v>2015</v>
      </c>
      <c r="F2" s="175">
        <v>2016</v>
      </c>
      <c r="G2" s="175">
        <v>2017</v>
      </c>
      <c r="H2" s="175">
        <v>2018</v>
      </c>
      <c r="I2" s="175">
        <v>2019</v>
      </c>
      <c r="J2" s="175">
        <v>2020</v>
      </c>
      <c r="K2" s="175">
        <v>2021</v>
      </c>
      <c r="L2" s="175">
        <v>2022</v>
      </c>
      <c r="M2" s="175">
        <v>2023</v>
      </c>
      <c r="N2" s="175">
        <v>2024</v>
      </c>
      <c r="O2" s="175">
        <v>2025</v>
      </c>
      <c r="U2"/>
    </row>
    <row r="3" spans="1:21" x14ac:dyDescent="0.25">
      <c r="A3" s="48"/>
      <c r="B3" s="48" t="s">
        <v>102</v>
      </c>
      <c r="C3" s="161">
        <f>98.425+0.047</f>
        <v>98.471999999999994</v>
      </c>
      <c r="D3" s="91">
        <v>97.96</v>
      </c>
      <c r="E3" s="91">
        <v>97.96</v>
      </c>
      <c r="F3" s="161">
        <f>(1-F5)*($C$3)</f>
        <v>96.502559999999988</v>
      </c>
      <c r="G3" s="161">
        <v>95.02</v>
      </c>
      <c r="H3" s="161">
        <v>93.55</v>
      </c>
      <c r="I3" s="161">
        <v>91.08</v>
      </c>
      <c r="J3" s="161">
        <v>88.62</v>
      </c>
      <c r="K3" s="161">
        <v>88.62</v>
      </c>
      <c r="L3" s="161">
        <v>88.62</v>
      </c>
      <c r="M3" s="161">
        <v>88.62</v>
      </c>
      <c r="N3" s="161">
        <v>88.62</v>
      </c>
      <c r="O3" s="161">
        <v>88.62</v>
      </c>
      <c r="U3"/>
    </row>
    <row r="4" spans="1:21" ht="15.75" thickBot="1" x14ac:dyDescent="0.3">
      <c r="A4" s="48"/>
      <c r="B4" s="48" t="s">
        <v>103</v>
      </c>
      <c r="C4" s="161">
        <v>102.01</v>
      </c>
      <c r="D4" s="91">
        <v>97.05</v>
      </c>
      <c r="E4" s="91">
        <v>97.05</v>
      </c>
      <c r="F4" s="161">
        <v>97.97</v>
      </c>
      <c r="G4" s="161">
        <v>98.44</v>
      </c>
      <c r="H4" s="161">
        <v>96.91</v>
      </c>
      <c r="I4" s="161">
        <v>94.36</v>
      </c>
      <c r="J4" s="161">
        <v>91.81</v>
      </c>
      <c r="K4" s="161">
        <v>91.81</v>
      </c>
      <c r="L4" s="161">
        <v>91.81</v>
      </c>
      <c r="M4" s="161">
        <v>91.81</v>
      </c>
      <c r="N4" s="161">
        <v>91.81</v>
      </c>
      <c r="O4" s="161">
        <v>91.81</v>
      </c>
      <c r="U4"/>
    </row>
    <row r="5" spans="1:21" ht="15.75" thickBot="1" x14ac:dyDescent="0.3">
      <c r="A5" s="48"/>
      <c r="C5" s="2" t="s">
        <v>3</v>
      </c>
      <c r="D5" s="53">
        <v>0.01</v>
      </c>
      <c r="E5" s="93">
        <v>0.01</v>
      </c>
      <c r="F5" s="101">
        <v>0.02</v>
      </c>
      <c r="G5" s="102">
        <v>3.5000000000000003E-2</v>
      </c>
      <c r="H5" s="102">
        <v>0.05</v>
      </c>
      <c r="I5" s="102">
        <v>7.4999999999999997E-2</v>
      </c>
      <c r="J5" s="102">
        <v>0.1</v>
      </c>
      <c r="K5" s="102">
        <v>0.1</v>
      </c>
      <c r="L5" s="102">
        <v>0.1</v>
      </c>
      <c r="M5" s="102">
        <v>0.1</v>
      </c>
      <c r="N5" s="102">
        <v>0.1</v>
      </c>
      <c r="O5" s="103">
        <v>0.1</v>
      </c>
      <c r="U5"/>
    </row>
    <row r="6" spans="1:21" x14ac:dyDescent="0.25">
      <c r="A6" s="30"/>
      <c r="B6" s="30"/>
      <c r="C6" s="68" t="s">
        <v>0</v>
      </c>
      <c r="D6" s="50">
        <v>14433</v>
      </c>
      <c r="E6" s="50">
        <v>14323.9</v>
      </c>
      <c r="F6" s="95">
        <v>14180.7</v>
      </c>
      <c r="G6" s="95">
        <v>14038.89</v>
      </c>
      <c r="H6" s="95">
        <v>13898.5</v>
      </c>
      <c r="I6" s="95">
        <v>13759.5</v>
      </c>
      <c r="J6" s="95">
        <v>13621.9</v>
      </c>
      <c r="K6" s="95">
        <v>13417.59</v>
      </c>
      <c r="L6" s="95">
        <v>13216.3</v>
      </c>
      <c r="M6" s="95">
        <v>13018.09</v>
      </c>
      <c r="N6" s="95">
        <v>12822.8</v>
      </c>
      <c r="O6" s="95">
        <v>12630.5</v>
      </c>
      <c r="U6"/>
    </row>
    <row r="7" spans="1:21" x14ac:dyDescent="0.25">
      <c r="A7" s="30"/>
      <c r="B7" s="30"/>
      <c r="C7" s="44" t="s">
        <v>1</v>
      </c>
      <c r="D7" s="50">
        <v>3786.7</v>
      </c>
      <c r="E7" s="50">
        <v>3788.1373249999992</v>
      </c>
      <c r="F7" s="50">
        <v>3844.9593848749987</v>
      </c>
      <c r="G7" s="50">
        <v>3902.6337756481234</v>
      </c>
      <c r="H7" s="50">
        <v>3961.1732822828449</v>
      </c>
      <c r="I7" s="50">
        <v>4020.5908815170869</v>
      </c>
      <c r="J7" s="50">
        <v>4080.8997447398428</v>
      </c>
      <c r="K7" s="50">
        <v>4142.1132409109405</v>
      </c>
      <c r="L7" s="50">
        <v>4204.244939524604</v>
      </c>
      <c r="M7" s="50">
        <v>4267.3086136174725</v>
      </c>
      <c r="N7" s="50">
        <v>4331.3182428217342</v>
      </c>
      <c r="O7" s="50">
        <v>4396.2880164640601</v>
      </c>
      <c r="U7"/>
    </row>
    <row r="8" spans="1:21" ht="15.75" thickBot="1" x14ac:dyDescent="0.3">
      <c r="A8" s="48" t="s">
        <v>108</v>
      </c>
      <c r="C8" s="185" t="s">
        <v>58</v>
      </c>
      <c r="D8" s="186">
        <v>0.29399999999999998</v>
      </c>
      <c r="E8" s="186">
        <v>0.43953903587080023</v>
      </c>
      <c r="F8" s="186">
        <v>1.4955700260823033</v>
      </c>
      <c r="G8" s="186">
        <v>1.658969673051617</v>
      </c>
      <c r="H8" s="186">
        <v>1.881775328986379</v>
      </c>
      <c r="I8" s="186">
        <v>2.1758998892824928</v>
      </c>
      <c r="J8" s="186">
        <v>2.528780768390011</v>
      </c>
      <c r="K8" s="186">
        <v>2.9640897646069777</v>
      </c>
      <c r="L8" s="186">
        <v>3.4630928641404495</v>
      </c>
      <c r="M8" s="186">
        <v>4.026934276822888</v>
      </c>
      <c r="N8" s="186">
        <v>4.6566737281203965</v>
      </c>
      <c r="O8" s="186">
        <v>5.2737658648581958</v>
      </c>
      <c r="U8"/>
    </row>
    <row r="9" spans="1:21" x14ac:dyDescent="0.25">
      <c r="A9" s="177" t="s">
        <v>107</v>
      </c>
      <c r="B9" s="183"/>
      <c r="C9" s="178"/>
      <c r="D9" s="187">
        <f t="shared" ref="D9:O9" si="0">D91</f>
        <v>4.7619629790814306</v>
      </c>
      <c r="E9" s="188">
        <f t="shared" si="0"/>
        <v>8.1571079785756524</v>
      </c>
      <c r="F9" s="188">
        <f t="shared" si="0"/>
        <v>10.403972565295634</v>
      </c>
      <c r="G9" s="188">
        <f t="shared" si="0"/>
        <v>12.367375005443416</v>
      </c>
      <c r="H9" s="188">
        <f t="shared" si="0"/>
        <v>13.035623772359884</v>
      </c>
      <c r="I9" s="188">
        <f t="shared" si="0"/>
        <v>10.135905267871903</v>
      </c>
      <c r="J9" s="188">
        <f t="shared" si="0"/>
        <v>4.0466302402057952</v>
      </c>
      <c r="K9" s="188">
        <f t="shared" si="0"/>
        <v>1.2597528600707726</v>
      </c>
      <c r="L9" s="188">
        <f t="shared" si="0"/>
        <v>0.90492098077360206</v>
      </c>
      <c r="M9" s="188">
        <f t="shared" si="0"/>
        <v>2.9681225603644839</v>
      </c>
      <c r="N9" s="188">
        <f t="shared" si="0"/>
        <v>7.0968395021519468</v>
      </c>
      <c r="O9" s="189">
        <f t="shared" si="0"/>
        <v>13.22780338535755</v>
      </c>
      <c r="U9"/>
    </row>
    <row r="10" spans="1:21" ht="15.75" x14ac:dyDescent="0.25">
      <c r="A10" s="179" t="s">
        <v>105</v>
      </c>
      <c r="B10" s="176"/>
      <c r="C10" s="180"/>
      <c r="D10" s="190">
        <v>4.7621510553818487</v>
      </c>
      <c r="E10" s="174">
        <v>8.157514486559629</v>
      </c>
      <c r="F10" s="174">
        <v>11.33504223398214</v>
      </c>
      <c r="G10" s="174">
        <v>13.192943838498172</v>
      </c>
      <c r="H10" s="174">
        <v>13.728034723258521</v>
      </c>
      <c r="I10" s="174">
        <v>10.71101863491468</v>
      </c>
      <c r="J10" s="174">
        <v>4.5024890945698459</v>
      </c>
      <c r="K10" s="174">
        <v>1.5925364839498446</v>
      </c>
      <c r="L10" s="174">
        <v>1.1246269599785337</v>
      </c>
      <c r="M10" s="174">
        <v>3.0879352304839358</v>
      </c>
      <c r="N10" s="174">
        <v>7.1327918640409109</v>
      </c>
      <c r="O10" s="191">
        <v>13.199079730401035</v>
      </c>
      <c r="P10" s="37"/>
    </row>
    <row r="11" spans="1:21" ht="16.5" thickBot="1" x14ac:dyDescent="0.3">
      <c r="A11" s="181" t="s">
        <v>106</v>
      </c>
      <c r="B11" s="184"/>
      <c r="C11" s="182"/>
      <c r="D11" s="192">
        <v>5.5360950415297712</v>
      </c>
      <c r="E11" s="193">
        <v>9.1887265866964469</v>
      </c>
      <c r="F11" s="193">
        <v>12.588295464144013</v>
      </c>
      <c r="G11" s="193">
        <v>14.68607464758702</v>
      </c>
      <c r="H11" s="193">
        <v>15.412944193378928</v>
      </c>
      <c r="I11" s="193">
        <v>12.500601121014231</v>
      </c>
      <c r="J11" s="193">
        <v>6.2334759848385648</v>
      </c>
      <c r="K11" s="193">
        <v>3.1667220677028611</v>
      </c>
      <c r="L11" s="193">
        <v>2.4721501506043069</v>
      </c>
      <c r="M11" s="193">
        <v>4.136649573302936</v>
      </c>
      <c r="N11" s="193">
        <v>7.8370106820958574</v>
      </c>
      <c r="O11" s="194">
        <v>13.504021386306658</v>
      </c>
      <c r="P11" s="37"/>
    </row>
    <row r="12" spans="1:21" ht="24.75" customHeight="1" x14ac:dyDescent="0.25">
      <c r="A12" s="75"/>
      <c r="B12" s="76"/>
      <c r="C12" s="12" t="s">
        <v>57</v>
      </c>
      <c r="D12" s="51" t="s">
        <v>62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U12"/>
    </row>
    <row r="13" spans="1:21" ht="15" customHeight="1" x14ac:dyDescent="0.25">
      <c r="A13" s="152" t="s">
        <v>30</v>
      </c>
      <c r="B13" s="153"/>
      <c r="C13" s="148" t="s">
        <v>25</v>
      </c>
      <c r="D13" s="58">
        <v>2014</v>
      </c>
      <c r="E13" s="58">
        <v>2015</v>
      </c>
      <c r="F13" s="58">
        <v>2016</v>
      </c>
      <c r="G13" s="58">
        <v>2017</v>
      </c>
      <c r="H13" s="58">
        <v>2018</v>
      </c>
      <c r="I13" s="58">
        <v>2019</v>
      </c>
      <c r="J13" s="58">
        <v>2020</v>
      </c>
      <c r="K13" s="58">
        <v>2021</v>
      </c>
      <c r="L13" s="58">
        <v>2022</v>
      </c>
      <c r="M13" s="58">
        <v>2023</v>
      </c>
      <c r="N13" s="58">
        <v>2024</v>
      </c>
      <c r="O13" s="58">
        <v>2025</v>
      </c>
      <c r="U13"/>
    </row>
    <row r="14" spans="1:21" x14ac:dyDescent="0.25">
      <c r="A14" s="82" t="s">
        <v>4</v>
      </c>
      <c r="B14" s="82"/>
      <c r="C14" s="55" t="s">
        <v>28</v>
      </c>
      <c r="D14" s="145">
        <v>1235</v>
      </c>
      <c r="E14" s="100">
        <v>1200</v>
      </c>
      <c r="F14" s="100">
        <v>1100</v>
      </c>
      <c r="G14" s="100">
        <v>1000</v>
      </c>
      <c r="H14" s="100">
        <v>825</v>
      </c>
      <c r="I14" s="100">
        <v>750</v>
      </c>
      <c r="J14" s="100">
        <v>700</v>
      </c>
      <c r="K14" s="100">
        <v>600</v>
      </c>
      <c r="L14" s="100">
        <v>550</v>
      </c>
      <c r="M14" s="100">
        <v>475</v>
      </c>
      <c r="N14" s="100">
        <v>400</v>
      </c>
      <c r="O14" s="100">
        <v>320</v>
      </c>
      <c r="U14"/>
    </row>
    <row r="15" spans="1:21" x14ac:dyDescent="0.25">
      <c r="A15" s="83" t="s">
        <v>5</v>
      </c>
      <c r="B15" s="83"/>
      <c r="C15" s="55" t="s">
        <v>28</v>
      </c>
      <c r="D15" s="134">
        <v>2.46</v>
      </c>
      <c r="E15" s="100">
        <v>150</v>
      </c>
      <c r="F15" s="100">
        <v>200</v>
      </c>
      <c r="G15" s="100">
        <v>250</v>
      </c>
      <c r="H15" s="100">
        <v>350</v>
      </c>
      <c r="I15" s="100">
        <v>400</v>
      </c>
      <c r="J15" s="100">
        <v>450</v>
      </c>
      <c r="K15" s="100">
        <v>500</v>
      </c>
      <c r="L15" s="100">
        <v>500</v>
      </c>
      <c r="M15" s="100">
        <v>500</v>
      </c>
      <c r="N15" s="100">
        <v>500</v>
      </c>
      <c r="O15" s="100">
        <v>500</v>
      </c>
      <c r="U15"/>
    </row>
    <row r="16" spans="1:21" x14ac:dyDescent="0.25">
      <c r="A16" s="84" t="s">
        <v>41</v>
      </c>
      <c r="B16" s="84"/>
      <c r="C16" s="55" t="s">
        <v>28</v>
      </c>
      <c r="D16" s="134">
        <v>134</v>
      </c>
      <c r="E16" s="100">
        <v>100</v>
      </c>
      <c r="F16" s="100">
        <v>100</v>
      </c>
      <c r="G16" s="100">
        <v>100</v>
      </c>
      <c r="H16" s="100">
        <v>100</v>
      </c>
      <c r="I16" s="100">
        <v>100</v>
      </c>
      <c r="J16" s="100">
        <v>100</v>
      </c>
      <c r="K16" s="100">
        <v>100</v>
      </c>
      <c r="L16" s="100">
        <v>100</v>
      </c>
      <c r="M16" s="100">
        <v>100</v>
      </c>
      <c r="N16" s="100">
        <v>100</v>
      </c>
      <c r="O16" s="100">
        <v>100</v>
      </c>
      <c r="U16"/>
    </row>
    <row r="17" spans="1:21" x14ac:dyDescent="0.25">
      <c r="A17" s="89" t="s">
        <v>64</v>
      </c>
      <c r="B17" s="84"/>
      <c r="C17" s="55" t="s">
        <v>28</v>
      </c>
      <c r="D17" s="134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U17"/>
    </row>
    <row r="18" spans="1:21" x14ac:dyDescent="0.25">
      <c r="A18" s="77" t="s">
        <v>67</v>
      </c>
      <c r="B18" s="84"/>
      <c r="C18" s="55" t="s">
        <v>28</v>
      </c>
      <c r="D18" s="134">
        <v>48.7</v>
      </c>
      <c r="E18" s="100">
        <v>50</v>
      </c>
      <c r="F18" s="100">
        <v>50</v>
      </c>
      <c r="G18" s="100">
        <v>75</v>
      </c>
      <c r="H18" s="100">
        <v>75</v>
      </c>
      <c r="I18" s="100">
        <v>75</v>
      </c>
      <c r="J18" s="100">
        <v>75</v>
      </c>
      <c r="K18" s="100">
        <v>75</v>
      </c>
      <c r="L18" s="100">
        <v>75</v>
      </c>
      <c r="M18" s="100">
        <v>75</v>
      </c>
      <c r="N18" s="100">
        <v>75</v>
      </c>
      <c r="O18" s="100">
        <v>75</v>
      </c>
      <c r="U18"/>
    </row>
    <row r="19" spans="1:21" s="13" customFormat="1" ht="15.75" x14ac:dyDescent="0.25">
      <c r="A19" s="83" t="s">
        <v>27</v>
      </c>
      <c r="B19" s="83"/>
      <c r="C19" s="55" t="s">
        <v>28</v>
      </c>
      <c r="D19" s="134">
        <v>0</v>
      </c>
      <c r="E19" s="100">
        <v>0</v>
      </c>
      <c r="F19" s="100">
        <v>5</v>
      </c>
      <c r="G19" s="100">
        <v>15</v>
      </c>
      <c r="H19" s="100">
        <v>50</v>
      </c>
      <c r="I19" s="100">
        <v>75</v>
      </c>
      <c r="J19" s="100">
        <v>100</v>
      </c>
      <c r="K19" s="100">
        <v>200</v>
      </c>
      <c r="L19" s="100">
        <v>250</v>
      </c>
      <c r="M19" s="100">
        <v>300</v>
      </c>
      <c r="N19" s="100">
        <v>350</v>
      </c>
      <c r="O19" s="100">
        <v>400</v>
      </c>
      <c r="P19" s="46"/>
      <c r="Q19" s="46"/>
      <c r="R19" s="46"/>
      <c r="S19" s="46"/>
      <c r="T19" s="46"/>
    </row>
    <row r="20" spans="1:21" s="13" customFormat="1" ht="15.75" x14ac:dyDescent="0.25">
      <c r="A20" s="83" t="s">
        <v>6</v>
      </c>
      <c r="B20" s="83"/>
      <c r="C20" s="55" t="s">
        <v>28</v>
      </c>
      <c r="D20" s="134">
        <v>5.6</v>
      </c>
      <c r="E20" s="100">
        <v>20</v>
      </c>
      <c r="F20" s="100">
        <v>40</v>
      </c>
      <c r="G20" s="100">
        <v>40</v>
      </c>
      <c r="H20" s="100">
        <v>60</v>
      </c>
      <c r="I20" s="100">
        <v>60</v>
      </c>
      <c r="J20" s="100">
        <v>60</v>
      </c>
      <c r="K20" s="100">
        <v>60</v>
      </c>
      <c r="L20" s="100">
        <v>60</v>
      </c>
      <c r="M20" s="100">
        <v>60</v>
      </c>
      <c r="N20" s="100">
        <v>60</v>
      </c>
      <c r="O20" s="100">
        <v>60</v>
      </c>
      <c r="P20" s="46"/>
      <c r="Q20" s="46"/>
      <c r="R20" s="46"/>
      <c r="S20" s="46"/>
      <c r="T20" s="46"/>
    </row>
    <row r="21" spans="1:21" s="13" customFormat="1" ht="15.75" x14ac:dyDescent="0.25">
      <c r="A21" s="85" t="s">
        <v>26</v>
      </c>
      <c r="B21" s="85"/>
      <c r="C21" s="55" t="s">
        <v>28</v>
      </c>
      <c r="D21" s="100">
        <v>0</v>
      </c>
      <c r="E21" s="100">
        <v>0</v>
      </c>
      <c r="F21" s="100">
        <v>0</v>
      </c>
      <c r="G21" s="100">
        <v>0</v>
      </c>
      <c r="H21" s="100">
        <v>5</v>
      </c>
      <c r="I21" s="100">
        <v>15</v>
      </c>
      <c r="J21" s="100">
        <v>25</v>
      </c>
      <c r="K21" s="100">
        <v>50</v>
      </c>
      <c r="L21" s="100">
        <v>100</v>
      </c>
      <c r="M21" s="100">
        <v>150</v>
      </c>
      <c r="N21" s="100">
        <v>200</v>
      </c>
      <c r="O21" s="100">
        <v>250</v>
      </c>
      <c r="P21" s="46"/>
      <c r="Q21" s="46"/>
      <c r="R21" s="46"/>
      <c r="S21" s="46"/>
      <c r="T21" s="46"/>
    </row>
    <row r="22" spans="1:21" s="13" customFormat="1" ht="15.75" x14ac:dyDescent="0.25">
      <c r="A22" s="133" t="s">
        <v>83</v>
      </c>
      <c r="B22" s="133" t="s">
        <v>84</v>
      </c>
      <c r="C22" s="133" t="s">
        <v>59</v>
      </c>
      <c r="D22" s="134">
        <v>17</v>
      </c>
      <c r="E22" s="134">
        <v>17</v>
      </c>
      <c r="F22" s="134">
        <v>17</v>
      </c>
      <c r="G22" s="134">
        <v>17</v>
      </c>
      <c r="H22" s="134">
        <v>17</v>
      </c>
      <c r="I22" s="134">
        <v>17</v>
      </c>
      <c r="J22" s="134">
        <v>17</v>
      </c>
      <c r="K22" s="134">
        <v>17</v>
      </c>
      <c r="L22" s="134">
        <v>17</v>
      </c>
      <c r="M22" s="134">
        <v>17</v>
      </c>
      <c r="N22" s="134">
        <v>17</v>
      </c>
      <c r="O22" s="134">
        <v>17</v>
      </c>
      <c r="P22" s="46"/>
      <c r="Q22" s="46"/>
      <c r="R22" s="46"/>
      <c r="S22" s="46"/>
      <c r="T22" s="46"/>
    </row>
    <row r="23" spans="1:21" s="13" customFormat="1" ht="15.75" x14ac:dyDescent="0.25">
      <c r="A23" s="78" t="s">
        <v>12</v>
      </c>
      <c r="B23" s="78"/>
      <c r="C23" s="54" t="s">
        <v>59</v>
      </c>
      <c r="D23" s="100">
        <v>3.4090909090909088E-2</v>
      </c>
      <c r="E23" s="100">
        <v>0.36363636363636359</v>
      </c>
      <c r="F23" s="100">
        <v>0.72727272727272718</v>
      </c>
      <c r="G23" s="100">
        <v>1.8181818181818181</v>
      </c>
      <c r="H23" s="100">
        <v>3.6363636363636362</v>
      </c>
      <c r="I23" s="100">
        <v>5.4545454545454541</v>
      </c>
      <c r="J23" s="100">
        <v>7.2727272727272725</v>
      </c>
      <c r="K23" s="100">
        <v>10</v>
      </c>
      <c r="L23" s="100">
        <v>12.727272727272727</v>
      </c>
      <c r="M23" s="100">
        <v>16.363636363636363</v>
      </c>
      <c r="N23" s="100">
        <v>20.90909090909091</v>
      </c>
      <c r="O23" s="100">
        <v>27.27272727272727</v>
      </c>
      <c r="P23" s="46"/>
      <c r="Q23" s="46"/>
      <c r="R23" s="46"/>
      <c r="S23" s="46"/>
      <c r="T23" s="46"/>
    </row>
    <row r="24" spans="1:21" s="13" customFormat="1" ht="15.75" x14ac:dyDescent="0.25">
      <c r="A24" s="83" t="s">
        <v>7</v>
      </c>
      <c r="B24" s="83"/>
      <c r="C24" s="54" t="s">
        <v>29</v>
      </c>
      <c r="D24" s="99">
        <v>294.46721311475414</v>
      </c>
      <c r="E24" s="99">
        <v>439.53903587080021</v>
      </c>
      <c r="F24" s="99">
        <v>595.57002608230312</v>
      </c>
      <c r="G24" s="99">
        <v>758.96967305161718</v>
      </c>
      <c r="H24" s="99">
        <v>981.7753289863789</v>
      </c>
      <c r="I24" s="99">
        <v>1275.8998892824927</v>
      </c>
      <c r="J24" s="99">
        <v>1628.780768390011</v>
      </c>
      <c r="K24" s="99">
        <v>2064.0897646069775</v>
      </c>
      <c r="L24" s="99">
        <v>2563.0928641404494</v>
      </c>
      <c r="M24" s="99">
        <v>3126.9342768228876</v>
      </c>
      <c r="N24" s="99">
        <v>3756.6737281203973</v>
      </c>
      <c r="O24" s="99">
        <v>4373.7658648581955</v>
      </c>
      <c r="P24" s="46"/>
      <c r="Q24" s="46"/>
      <c r="R24" s="46"/>
      <c r="S24" s="46"/>
      <c r="T24" s="46"/>
    </row>
    <row r="25" spans="1:21" ht="15.75" x14ac:dyDescent="0.25">
      <c r="A25" s="86" t="s">
        <v>33</v>
      </c>
      <c r="B25" s="86"/>
      <c r="C25" s="12"/>
      <c r="D25" s="62">
        <f t="shared" ref="D25:O25" si="1">SUM(D14:D20)</f>
        <v>1425.76</v>
      </c>
      <c r="E25" s="62">
        <f t="shared" si="1"/>
        <v>1520</v>
      </c>
      <c r="F25" s="62">
        <f t="shared" si="1"/>
        <v>1495</v>
      </c>
      <c r="G25" s="63">
        <f t="shared" si="1"/>
        <v>1480</v>
      </c>
      <c r="H25" s="63">
        <f t="shared" si="1"/>
        <v>1460</v>
      </c>
      <c r="I25" s="63">
        <f t="shared" si="1"/>
        <v>1460</v>
      </c>
      <c r="J25" s="63">
        <f t="shared" si="1"/>
        <v>1485</v>
      </c>
      <c r="K25" s="63">
        <f t="shared" si="1"/>
        <v>1535</v>
      </c>
      <c r="L25" s="63">
        <f t="shared" si="1"/>
        <v>1535</v>
      </c>
      <c r="M25" s="63">
        <f t="shared" si="1"/>
        <v>1510</v>
      </c>
      <c r="N25" s="63">
        <f t="shared" si="1"/>
        <v>1485</v>
      </c>
      <c r="O25" s="63">
        <f t="shared" si="1"/>
        <v>1455</v>
      </c>
      <c r="U25"/>
    </row>
    <row r="26" spans="1:21" ht="15.75" x14ac:dyDescent="0.25">
      <c r="A26" s="87" t="s">
        <v>48</v>
      </c>
      <c r="B26" s="87"/>
      <c r="C26" s="12"/>
      <c r="D26" s="64">
        <f t="shared" ref="D26:O26" si="2">D107/$C$107</f>
        <v>12967.315466851762</v>
      </c>
      <c r="E26" s="64">
        <f t="shared" si="2"/>
        <v>12782.142503088082</v>
      </c>
      <c r="F26" s="64">
        <f t="shared" si="2"/>
        <v>12644.080925965909</v>
      </c>
      <c r="G26" s="64">
        <f t="shared" si="2"/>
        <v>12499.063456843642</v>
      </c>
      <c r="H26" s="64">
        <f t="shared" si="2"/>
        <v>12347.019298094277</v>
      </c>
      <c r="I26" s="64">
        <f t="shared" si="2"/>
        <v>12170.380561464464</v>
      </c>
      <c r="J26" s="64">
        <f t="shared" si="2"/>
        <v>11972.033755639739</v>
      </c>
      <c r="K26" s="64">
        <f t="shared" si="2"/>
        <v>11667.64180588793</v>
      </c>
      <c r="L26" s="64">
        <f t="shared" si="2"/>
        <v>11368.75007024655</v>
      </c>
      <c r="M26" s="64">
        <f t="shared" si="2"/>
        <v>11082.340129111575</v>
      </c>
      <c r="N26" s="64">
        <f t="shared" si="2"/>
        <v>10791.100396749323</v>
      </c>
      <c r="O26" s="64">
        <f t="shared" si="2"/>
        <v>10505.640068212333</v>
      </c>
      <c r="U26"/>
    </row>
    <row r="27" spans="1:21" ht="15.75" x14ac:dyDescent="0.25">
      <c r="A27" s="87" t="s">
        <v>54</v>
      </c>
      <c r="B27" s="87"/>
      <c r="C27" s="12"/>
      <c r="D27" s="62">
        <f t="shared" ref="D27:O27" si="3">D25+D26+D21</f>
        <v>14393.075466851762</v>
      </c>
      <c r="E27" s="62">
        <f t="shared" si="3"/>
        <v>14302.142503088082</v>
      </c>
      <c r="F27" s="96">
        <f t="shared" si="3"/>
        <v>14139.080925965909</v>
      </c>
      <c r="G27" s="96">
        <f t="shared" si="3"/>
        <v>13979.063456843642</v>
      </c>
      <c r="H27" s="96">
        <f t="shared" si="3"/>
        <v>13812.019298094277</v>
      </c>
      <c r="I27" s="96">
        <f t="shared" si="3"/>
        <v>13645.380561464464</v>
      </c>
      <c r="J27" s="96">
        <f t="shared" si="3"/>
        <v>13482.033755639739</v>
      </c>
      <c r="K27" s="96">
        <f t="shared" si="3"/>
        <v>13252.64180588793</v>
      </c>
      <c r="L27" s="96">
        <f t="shared" si="3"/>
        <v>13003.75007024655</v>
      </c>
      <c r="M27" s="96">
        <f t="shared" si="3"/>
        <v>12742.340129111575</v>
      </c>
      <c r="N27" s="96">
        <f t="shared" si="3"/>
        <v>12476.100396749323</v>
      </c>
      <c r="O27" s="96">
        <f t="shared" si="3"/>
        <v>12210.640068212333</v>
      </c>
      <c r="U27"/>
    </row>
    <row r="28" spans="1:21" ht="16.5" thickBot="1" x14ac:dyDescent="0.3">
      <c r="A28" s="87" t="s">
        <v>32</v>
      </c>
      <c r="B28" s="87"/>
      <c r="C28" s="12"/>
      <c r="D28" s="65">
        <f t="shared" ref="D28:O28" si="4">D25/D27</f>
        <v>9.9058745525487088E-2</v>
      </c>
      <c r="E28" s="65">
        <f t="shared" si="4"/>
        <v>0.10627778318331016</v>
      </c>
      <c r="F28" s="65">
        <f t="shared" si="4"/>
        <v>0.10573530258635741</v>
      </c>
      <c r="G28" s="65">
        <f t="shared" si="4"/>
        <v>0.10587261475484938</v>
      </c>
      <c r="H28" s="65">
        <f t="shared" si="4"/>
        <v>0.1057050362072289</v>
      </c>
      <c r="I28" s="65">
        <f t="shared" si="4"/>
        <v>0.10699591656118004</v>
      </c>
      <c r="J28" s="65">
        <f t="shared" si="4"/>
        <v>0.11014658670312275</v>
      </c>
      <c r="K28" s="65">
        <f t="shared" si="4"/>
        <v>0.11582596304066899</v>
      </c>
      <c r="L28" s="65">
        <f t="shared" si="4"/>
        <v>0.11804287161071965</v>
      </c>
      <c r="M28" s="65">
        <f t="shared" si="4"/>
        <v>0.11850256583170336</v>
      </c>
      <c r="N28" s="65">
        <f t="shared" si="4"/>
        <v>0.11902757694919802</v>
      </c>
      <c r="O28" s="65">
        <f t="shared" si="4"/>
        <v>0.11915837268742092</v>
      </c>
      <c r="U28"/>
    </row>
    <row r="29" spans="1:21" ht="15" customHeight="1" x14ac:dyDescent="0.25">
      <c r="A29" s="75"/>
      <c r="B29" s="75"/>
      <c r="C29" s="12"/>
      <c r="D29" s="37"/>
      <c r="E29" s="37"/>
      <c r="F29" s="37"/>
      <c r="G29" s="37"/>
      <c r="H29" s="37"/>
      <c r="I29" s="37"/>
      <c r="J29" s="37"/>
      <c r="L29"/>
      <c r="M29"/>
      <c r="U29"/>
    </row>
    <row r="30" spans="1:21" x14ac:dyDescent="0.25">
      <c r="A30" s="83"/>
      <c r="B30" s="83"/>
      <c r="C30" s="148" t="s">
        <v>25</v>
      </c>
      <c r="D30" s="58">
        <v>2014</v>
      </c>
      <c r="E30" s="58">
        <v>2015</v>
      </c>
      <c r="F30" s="58">
        <v>2016</v>
      </c>
      <c r="G30" s="58">
        <v>2017</v>
      </c>
      <c r="H30" s="58">
        <v>2018</v>
      </c>
      <c r="I30" s="58">
        <v>2019</v>
      </c>
      <c r="J30" s="58">
        <v>2020</v>
      </c>
      <c r="K30" s="58">
        <v>2021</v>
      </c>
      <c r="L30" s="58">
        <v>2022</v>
      </c>
      <c r="M30" s="58">
        <v>2023</v>
      </c>
      <c r="N30" s="58">
        <v>2024</v>
      </c>
      <c r="O30" s="58">
        <v>2025</v>
      </c>
      <c r="U30"/>
    </row>
    <row r="31" spans="1:21" x14ac:dyDescent="0.25">
      <c r="A31" s="83" t="s">
        <v>76</v>
      </c>
      <c r="B31" s="83"/>
      <c r="C31" s="54" t="s">
        <v>28</v>
      </c>
      <c r="D31" s="162">
        <v>64.7</v>
      </c>
      <c r="E31" s="110">
        <v>97</v>
      </c>
      <c r="F31" s="110">
        <v>129</v>
      </c>
      <c r="G31" s="110">
        <v>160</v>
      </c>
      <c r="H31" s="110">
        <v>180</v>
      </c>
      <c r="I31" s="110">
        <v>180</v>
      </c>
      <c r="J31" s="110">
        <v>180</v>
      </c>
      <c r="K31" s="110">
        <v>185</v>
      </c>
      <c r="L31" s="110">
        <v>185</v>
      </c>
      <c r="M31" s="110">
        <v>185</v>
      </c>
      <c r="N31" s="110">
        <v>190</v>
      </c>
      <c r="O31" s="110">
        <v>190</v>
      </c>
      <c r="P31"/>
      <c r="Q31"/>
      <c r="R31"/>
      <c r="U31"/>
    </row>
    <row r="32" spans="1:21" x14ac:dyDescent="0.25">
      <c r="A32" s="83" t="s">
        <v>8</v>
      </c>
      <c r="B32" s="83"/>
      <c r="C32" s="55" t="s">
        <v>28</v>
      </c>
      <c r="D32" s="162">
        <v>114</v>
      </c>
      <c r="E32" s="110">
        <v>180</v>
      </c>
      <c r="F32" s="110">
        <v>250</v>
      </c>
      <c r="G32" s="110">
        <v>300</v>
      </c>
      <c r="H32" s="110">
        <v>320</v>
      </c>
      <c r="I32" s="110">
        <v>360</v>
      </c>
      <c r="J32" s="110">
        <v>400</v>
      </c>
      <c r="K32" s="110">
        <v>500</v>
      </c>
      <c r="L32" s="110">
        <v>550</v>
      </c>
      <c r="M32" s="110">
        <v>600</v>
      </c>
      <c r="N32" s="110">
        <v>600</v>
      </c>
      <c r="O32" s="110">
        <v>600</v>
      </c>
      <c r="P32"/>
      <c r="Q32"/>
      <c r="R32"/>
      <c r="U32"/>
    </row>
    <row r="33" spans="1:22" x14ac:dyDescent="0.25">
      <c r="A33" s="83" t="s">
        <v>69</v>
      </c>
      <c r="B33" s="83"/>
      <c r="C33" s="55" t="s">
        <v>35</v>
      </c>
      <c r="D33" s="162">
        <v>86.300000000000011</v>
      </c>
      <c r="E33" s="162">
        <v>70</v>
      </c>
      <c r="F33" s="162">
        <v>75</v>
      </c>
      <c r="G33" s="162">
        <v>75</v>
      </c>
      <c r="H33" s="162">
        <v>75</v>
      </c>
      <c r="I33" s="162">
        <v>75</v>
      </c>
      <c r="J33" s="162">
        <v>55</v>
      </c>
      <c r="K33" s="162">
        <v>35</v>
      </c>
      <c r="L33" s="162">
        <v>35</v>
      </c>
      <c r="M33" s="162">
        <v>35</v>
      </c>
      <c r="N33" s="162">
        <v>35</v>
      </c>
      <c r="O33" s="162">
        <v>35</v>
      </c>
      <c r="P33"/>
      <c r="Q33"/>
      <c r="R33"/>
      <c r="U33"/>
    </row>
    <row r="34" spans="1:22" x14ac:dyDescent="0.25">
      <c r="A34" s="85" t="s">
        <v>70</v>
      </c>
      <c r="B34" s="85"/>
      <c r="C34" s="56" t="s">
        <v>35</v>
      </c>
      <c r="D34" s="162">
        <v>23.4</v>
      </c>
      <c r="E34" s="162">
        <v>55</v>
      </c>
      <c r="F34" s="162">
        <v>70</v>
      </c>
      <c r="G34" s="162">
        <v>90</v>
      </c>
      <c r="H34" s="162">
        <v>130</v>
      </c>
      <c r="I34" s="162">
        <v>170</v>
      </c>
      <c r="J34" s="162">
        <v>230</v>
      </c>
      <c r="K34" s="162">
        <v>290</v>
      </c>
      <c r="L34" s="162">
        <v>330</v>
      </c>
      <c r="M34" s="162">
        <v>370</v>
      </c>
      <c r="N34" s="162">
        <v>410</v>
      </c>
      <c r="O34" s="162">
        <v>450</v>
      </c>
      <c r="P34" s="45" t="s">
        <v>85</v>
      </c>
      <c r="U34"/>
    </row>
    <row r="35" spans="1:22" x14ac:dyDescent="0.25">
      <c r="A35" s="83" t="s">
        <v>9</v>
      </c>
      <c r="B35" s="83"/>
      <c r="C35" s="54" t="s">
        <v>29</v>
      </c>
      <c r="D35" s="99">
        <v>0</v>
      </c>
      <c r="E35" s="99">
        <v>0</v>
      </c>
      <c r="F35" s="99">
        <v>900</v>
      </c>
      <c r="G35" s="99">
        <v>900</v>
      </c>
      <c r="H35" s="99">
        <v>900</v>
      </c>
      <c r="I35" s="99">
        <v>900</v>
      </c>
      <c r="J35" s="99">
        <v>900</v>
      </c>
      <c r="K35" s="99">
        <v>900</v>
      </c>
      <c r="L35" s="99">
        <v>900</v>
      </c>
      <c r="M35" s="99">
        <v>900</v>
      </c>
      <c r="N35" s="99">
        <v>900</v>
      </c>
      <c r="O35" s="99">
        <v>900</v>
      </c>
      <c r="P35" s="45" t="s">
        <v>86</v>
      </c>
      <c r="U35"/>
    </row>
    <row r="36" spans="1:22" x14ac:dyDescent="0.25">
      <c r="A36" s="75" t="s">
        <v>61</v>
      </c>
      <c r="B36" s="75"/>
      <c r="C36" s="12"/>
      <c r="D36" s="162">
        <v>109.7</v>
      </c>
      <c r="E36" s="162">
        <f>E33+E34</f>
        <v>125</v>
      </c>
      <c r="F36" s="162">
        <f t="shared" ref="F36:O36" si="5">F33+F34</f>
        <v>145</v>
      </c>
      <c r="G36" s="162">
        <f t="shared" si="5"/>
        <v>165</v>
      </c>
      <c r="H36" s="162">
        <f t="shared" si="5"/>
        <v>205</v>
      </c>
      <c r="I36" s="162">
        <f t="shared" si="5"/>
        <v>245</v>
      </c>
      <c r="J36" s="162">
        <f t="shared" si="5"/>
        <v>285</v>
      </c>
      <c r="K36" s="162">
        <f t="shared" si="5"/>
        <v>325</v>
      </c>
      <c r="L36" s="162">
        <f t="shared" si="5"/>
        <v>365</v>
      </c>
      <c r="M36" s="162">
        <f t="shared" si="5"/>
        <v>405</v>
      </c>
      <c r="N36" s="162">
        <f t="shared" si="5"/>
        <v>445</v>
      </c>
      <c r="O36" s="162">
        <f t="shared" si="5"/>
        <v>485</v>
      </c>
      <c r="U36"/>
    </row>
    <row r="37" spans="1:22" x14ac:dyDescent="0.25">
      <c r="A37" s="87" t="s">
        <v>56</v>
      </c>
      <c r="B37" s="87"/>
      <c r="C37" s="12"/>
      <c r="D37" s="163">
        <f>D31</f>
        <v>64.7</v>
      </c>
      <c r="E37" s="163">
        <f>E31</f>
        <v>97</v>
      </c>
      <c r="F37" s="163">
        <f>F31</f>
        <v>129</v>
      </c>
      <c r="G37" s="163">
        <f>G31</f>
        <v>160</v>
      </c>
      <c r="H37" s="163">
        <f t="shared" ref="H37:O37" si="6">H31</f>
        <v>180</v>
      </c>
      <c r="I37" s="163">
        <f t="shared" si="6"/>
        <v>180</v>
      </c>
      <c r="J37" s="163">
        <f t="shared" si="6"/>
        <v>180</v>
      </c>
      <c r="K37" s="163">
        <f t="shared" si="6"/>
        <v>185</v>
      </c>
      <c r="L37" s="163">
        <f t="shared" si="6"/>
        <v>185</v>
      </c>
      <c r="M37" s="163">
        <f t="shared" si="6"/>
        <v>185</v>
      </c>
      <c r="N37" s="163">
        <f t="shared" si="6"/>
        <v>190</v>
      </c>
      <c r="O37" s="163">
        <f t="shared" si="6"/>
        <v>190</v>
      </c>
      <c r="U37"/>
    </row>
    <row r="38" spans="1:22" x14ac:dyDescent="0.25">
      <c r="A38" s="87" t="s">
        <v>50</v>
      </c>
      <c r="B38" s="87"/>
      <c r="C38" s="40"/>
      <c r="D38" s="164">
        <f>D7</f>
        <v>3786.7</v>
      </c>
      <c r="E38" s="164">
        <f>E7</f>
        <v>3788.1373249999992</v>
      </c>
      <c r="F38" s="164">
        <f>F7</f>
        <v>3844.9593848749987</v>
      </c>
      <c r="G38" s="164">
        <f>G7</f>
        <v>3902.6337756481234</v>
      </c>
      <c r="H38" s="164">
        <f>H7</f>
        <v>3961.1732822828449</v>
      </c>
      <c r="I38" s="164">
        <f>I7</f>
        <v>4020.5908815170869</v>
      </c>
      <c r="J38" s="164">
        <f>J7</f>
        <v>4080.8997447398428</v>
      </c>
      <c r="K38" s="164">
        <f>K7</f>
        <v>4142.1132409109405</v>
      </c>
      <c r="L38" s="164">
        <f>L7</f>
        <v>4204.244939524604</v>
      </c>
      <c r="M38" s="164">
        <f>M7</f>
        <v>4267.3086136174725</v>
      </c>
      <c r="N38" s="164">
        <f>N7</f>
        <v>4331.3182428217342</v>
      </c>
      <c r="O38" s="164">
        <f>O7</f>
        <v>4396.2880164640601</v>
      </c>
      <c r="U38"/>
    </row>
    <row r="39" spans="1:22" x14ac:dyDescent="0.25">
      <c r="A39" s="87" t="s">
        <v>49</v>
      </c>
      <c r="B39" s="87"/>
      <c r="C39" s="12"/>
      <c r="D39" s="49">
        <f t="shared" ref="D39:O39" si="7">D117/$C$116</f>
        <v>3506.3981057150718</v>
      </c>
      <c r="E39" s="49">
        <f t="shared" si="7"/>
        <v>3398.6039830681048</v>
      </c>
      <c r="F39" s="49">
        <f t="shared" si="7"/>
        <v>3313.8247717170284</v>
      </c>
      <c r="G39" s="49">
        <f t="shared" si="7"/>
        <v>3274.2135951596074</v>
      </c>
      <c r="H39" s="49">
        <f t="shared" si="7"/>
        <v>3254.7101266784566</v>
      </c>
      <c r="I39" s="49">
        <f t="shared" si="7"/>
        <v>3235.5615029633418</v>
      </c>
      <c r="J39" s="49">
        <f t="shared" si="7"/>
        <v>3217.3041432367413</v>
      </c>
      <c r="K39" s="49">
        <f t="shared" si="7"/>
        <v>3137.4121161241483</v>
      </c>
      <c r="L39" s="49">
        <f t="shared" si="7"/>
        <v>3111.3360360511165</v>
      </c>
      <c r="M39" s="49">
        <f t="shared" si="7"/>
        <v>3086.1919314572883</v>
      </c>
      <c r="N39" s="49">
        <f t="shared" si="7"/>
        <v>3105.5115947512522</v>
      </c>
      <c r="O39" s="49">
        <f t="shared" si="7"/>
        <v>3130.4813683935777</v>
      </c>
      <c r="U39"/>
    </row>
    <row r="40" spans="1:22" x14ac:dyDescent="0.25">
      <c r="A40" s="87" t="s">
        <v>55</v>
      </c>
      <c r="B40" s="87"/>
      <c r="C40" s="12"/>
      <c r="D40" s="57">
        <f>SUM(D31:D31)/(D39+D32+D37)</f>
        <v>1.7557198789269507E-2</v>
      </c>
      <c r="E40" s="57">
        <f>SUM(E31:E31)/(E39+E32+E37)</f>
        <v>2.6390220613220699E-2</v>
      </c>
      <c r="F40" s="57">
        <f>SUM(F31:F31)/(F39+F32+F37)</f>
        <v>3.4932607955838565E-2</v>
      </c>
      <c r="G40" s="57">
        <f>SUM(G31:G31)/(G39+G32+G37)</f>
        <v>4.2847040192718622E-2</v>
      </c>
      <c r="H40" s="57">
        <f t="shared" ref="H40:O40" si="8">SUM(H31:H31)/(H39+H32+H37)</f>
        <v>4.7939786009322131E-2</v>
      </c>
      <c r="I40" s="57">
        <f t="shared" si="8"/>
        <v>4.7675027902133918E-2</v>
      </c>
      <c r="J40" s="57">
        <f t="shared" si="8"/>
        <v>4.7402049772755847E-2</v>
      </c>
      <c r="K40" s="57">
        <f t="shared" si="8"/>
        <v>4.8398758265654103E-2</v>
      </c>
      <c r="L40" s="57">
        <f t="shared" si="8"/>
        <v>4.8097721641069173E-2</v>
      </c>
      <c r="M40" s="57">
        <f t="shared" si="8"/>
        <v>4.7788898942646277E-2</v>
      </c>
      <c r="N40" s="57">
        <f t="shared" si="8"/>
        <v>4.8774081498307656E-2</v>
      </c>
      <c r="O40" s="57">
        <f t="shared" si="8"/>
        <v>4.846343653913416E-2</v>
      </c>
      <c r="U40"/>
    </row>
    <row r="41" spans="1:22" ht="15.75" thickBot="1" x14ac:dyDescent="0.3">
      <c r="A41" s="75" t="s">
        <v>60</v>
      </c>
      <c r="B41" s="75"/>
      <c r="C41" s="12"/>
      <c r="D41" s="61">
        <f t="shared" ref="D41:O41" si="9">D32/(D32+D37+D39)</f>
        <v>3.0935404358218292E-2</v>
      </c>
      <c r="E41" s="61">
        <f t="shared" si="9"/>
        <v>4.897154340597655E-2</v>
      </c>
      <c r="F41" s="61">
        <f t="shared" si="9"/>
        <v>6.7698852627594119E-2</v>
      </c>
      <c r="G41" s="61">
        <f t="shared" si="9"/>
        <v>8.0338200361347409E-2</v>
      </c>
      <c r="H41" s="61">
        <f t="shared" si="9"/>
        <v>8.5226286238794899E-2</v>
      </c>
      <c r="I41" s="61">
        <f t="shared" si="9"/>
        <v>9.5350055804267836E-2</v>
      </c>
      <c r="J41" s="61">
        <f t="shared" si="9"/>
        <v>0.10533788838390187</v>
      </c>
      <c r="K41" s="61">
        <f t="shared" si="9"/>
        <v>0.13080745477203812</v>
      </c>
      <c r="L41" s="61">
        <f t="shared" si="9"/>
        <v>0.14299322650047591</v>
      </c>
      <c r="M41" s="61">
        <f t="shared" si="9"/>
        <v>0.1549910235977717</v>
      </c>
      <c r="N41" s="61">
        <f t="shared" si="9"/>
        <v>0.15402341525781366</v>
      </c>
      <c r="O41" s="61">
        <f t="shared" si="9"/>
        <v>0.15304243117621313</v>
      </c>
      <c r="P41"/>
      <c r="U41"/>
    </row>
    <row r="42" spans="1:22" x14ac:dyDescent="0.25">
      <c r="B42" s="36"/>
      <c r="C42" s="17"/>
      <c r="D42" s="17"/>
      <c r="E42" s="17"/>
      <c r="L42"/>
      <c r="M42"/>
      <c r="N42"/>
      <c r="O42"/>
      <c r="P42"/>
      <c r="R42"/>
      <c r="S42"/>
      <c r="T42"/>
      <c r="V42" s="45"/>
    </row>
    <row r="43" spans="1:22" ht="15.75" thickBot="1" x14ac:dyDescent="0.3">
      <c r="D43" s="165" t="s">
        <v>89</v>
      </c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7"/>
      <c r="P43"/>
      <c r="R43"/>
      <c r="S43"/>
      <c r="T43"/>
    </row>
    <row r="44" spans="1:22" x14ac:dyDescent="0.25">
      <c r="B44" s="34"/>
      <c r="C44" s="36"/>
      <c r="D44" s="130">
        <v>2014</v>
      </c>
      <c r="E44" s="125">
        <v>2015</v>
      </c>
      <c r="F44" s="125">
        <v>2016</v>
      </c>
      <c r="G44" s="125">
        <v>2017</v>
      </c>
      <c r="H44" s="125">
        <v>2018</v>
      </c>
      <c r="I44" s="125">
        <v>2019</v>
      </c>
      <c r="J44" s="125">
        <v>2020</v>
      </c>
      <c r="K44" s="125">
        <v>2021</v>
      </c>
      <c r="L44" s="125">
        <v>2022</v>
      </c>
      <c r="M44" s="125">
        <v>2023</v>
      </c>
      <c r="N44" s="125">
        <v>2024</v>
      </c>
      <c r="O44" s="126">
        <v>2025</v>
      </c>
      <c r="P44"/>
      <c r="R44"/>
      <c r="S44"/>
      <c r="T44"/>
    </row>
    <row r="45" spans="1:22" x14ac:dyDescent="0.25">
      <c r="B45" s="34"/>
      <c r="C45" s="70" t="s">
        <v>4</v>
      </c>
      <c r="D45" s="128">
        <v>83.3</v>
      </c>
      <c r="E45" s="128">
        <v>83.3</v>
      </c>
      <c r="F45" s="128">
        <v>70</v>
      </c>
      <c r="G45" s="128">
        <v>69</v>
      </c>
      <c r="H45" s="128">
        <v>67</v>
      </c>
      <c r="I45" s="128">
        <v>66</v>
      </c>
      <c r="J45" s="128">
        <v>65</v>
      </c>
      <c r="K45" s="128">
        <v>64</v>
      </c>
      <c r="L45" s="128">
        <v>63</v>
      </c>
      <c r="M45" s="128">
        <v>62</v>
      </c>
      <c r="N45" s="128">
        <v>61</v>
      </c>
      <c r="O45" s="128">
        <v>60</v>
      </c>
      <c r="P45"/>
      <c r="R45"/>
      <c r="S45"/>
      <c r="T45"/>
    </row>
    <row r="46" spans="1:22" x14ac:dyDescent="0.25">
      <c r="B46" s="34"/>
      <c r="C46" s="70" t="s">
        <v>5</v>
      </c>
      <c r="D46" s="128">
        <v>58.4</v>
      </c>
      <c r="E46" s="128">
        <v>69.7</v>
      </c>
      <c r="F46" s="128">
        <v>44</v>
      </c>
      <c r="G46" s="128">
        <f>F46-0.5</f>
        <v>43.5</v>
      </c>
      <c r="H46" s="128">
        <f t="shared" ref="H46:O46" si="10">G46-0.5</f>
        <v>43</v>
      </c>
      <c r="I46" s="128">
        <f t="shared" si="10"/>
        <v>42.5</v>
      </c>
      <c r="J46" s="128">
        <f t="shared" si="10"/>
        <v>42</v>
      </c>
      <c r="K46" s="128">
        <f t="shared" si="10"/>
        <v>41.5</v>
      </c>
      <c r="L46" s="128">
        <f t="shared" si="10"/>
        <v>41</v>
      </c>
      <c r="M46" s="128">
        <f t="shared" si="10"/>
        <v>40.5</v>
      </c>
      <c r="N46" s="128">
        <f t="shared" si="10"/>
        <v>40</v>
      </c>
      <c r="O46" s="128">
        <f t="shared" si="10"/>
        <v>39.5</v>
      </c>
      <c r="P46"/>
      <c r="R46"/>
      <c r="S46"/>
      <c r="T46"/>
    </row>
    <row r="47" spans="1:22" x14ac:dyDescent="0.25">
      <c r="B47" s="34"/>
      <c r="C47" s="121" t="s">
        <v>41</v>
      </c>
      <c r="D47" s="128">
        <v>78.650000000000006</v>
      </c>
      <c r="E47" s="128">
        <v>78.650000000000006</v>
      </c>
      <c r="F47" s="128">
        <f>F45</f>
        <v>70</v>
      </c>
      <c r="G47" s="128">
        <f t="shared" ref="G47:O47" si="11">G45</f>
        <v>69</v>
      </c>
      <c r="H47" s="128">
        <f t="shared" si="11"/>
        <v>67</v>
      </c>
      <c r="I47" s="128">
        <f t="shared" si="11"/>
        <v>66</v>
      </c>
      <c r="J47" s="128">
        <f t="shared" si="11"/>
        <v>65</v>
      </c>
      <c r="K47" s="128">
        <f t="shared" si="11"/>
        <v>64</v>
      </c>
      <c r="L47" s="128">
        <f t="shared" si="11"/>
        <v>63</v>
      </c>
      <c r="M47" s="128">
        <f t="shared" si="11"/>
        <v>62</v>
      </c>
      <c r="N47" s="128">
        <f t="shared" si="11"/>
        <v>61</v>
      </c>
      <c r="O47" s="128">
        <f t="shared" si="11"/>
        <v>60</v>
      </c>
      <c r="P47"/>
      <c r="R47"/>
      <c r="S47"/>
      <c r="T47"/>
    </row>
    <row r="48" spans="1:22" x14ac:dyDescent="0.25">
      <c r="B48" s="34"/>
      <c r="C48" s="70" t="s">
        <v>64</v>
      </c>
      <c r="D48" s="128">
        <v>87.65</v>
      </c>
      <c r="E48" s="128">
        <v>87.65</v>
      </c>
      <c r="F48" s="128">
        <v>70</v>
      </c>
      <c r="G48" s="128">
        <v>69.3</v>
      </c>
      <c r="H48" s="128">
        <v>68.606999999999999</v>
      </c>
      <c r="I48" s="128">
        <v>67.920929999999998</v>
      </c>
      <c r="J48" s="128">
        <v>67.241720700000002</v>
      </c>
      <c r="K48" s="128">
        <v>66.569303493000007</v>
      </c>
      <c r="L48" s="128">
        <v>65.903610458070006</v>
      </c>
      <c r="M48" s="128">
        <v>65.244574353489298</v>
      </c>
      <c r="N48" s="128">
        <v>64.592128609954401</v>
      </c>
      <c r="O48" s="128">
        <v>63.946207323854857</v>
      </c>
      <c r="P48"/>
      <c r="R48"/>
      <c r="S48"/>
      <c r="T48"/>
    </row>
    <row r="49" spans="1:21" x14ac:dyDescent="0.25">
      <c r="B49" s="34"/>
      <c r="C49" s="122" t="s">
        <v>67</v>
      </c>
      <c r="D49" s="128">
        <v>65.28</v>
      </c>
      <c r="E49" s="128">
        <v>65.28</v>
      </c>
      <c r="F49" s="128">
        <v>65</v>
      </c>
      <c r="G49" s="128">
        <v>64.349999999999994</v>
      </c>
      <c r="H49" s="128">
        <v>63.706499999999991</v>
      </c>
      <c r="I49" s="128">
        <v>63.069434999999991</v>
      </c>
      <c r="J49" s="128">
        <v>62.438740649999993</v>
      </c>
      <c r="K49" s="128">
        <v>61.814353243499994</v>
      </c>
      <c r="L49" s="128">
        <v>61.196209711064995</v>
      </c>
      <c r="M49" s="128">
        <v>60.584247613954346</v>
      </c>
      <c r="N49" s="128">
        <v>59.978405137814804</v>
      </c>
      <c r="O49" s="128">
        <v>59.378621086436652</v>
      </c>
      <c r="P49"/>
      <c r="R49"/>
      <c r="S49"/>
      <c r="T49"/>
    </row>
    <row r="50" spans="1:21" x14ac:dyDescent="0.25">
      <c r="B50" s="34"/>
      <c r="C50" s="70" t="s">
        <v>95</v>
      </c>
      <c r="D50" s="127">
        <v>20</v>
      </c>
      <c r="E50" s="128">
        <v>20</v>
      </c>
      <c r="F50" s="128">
        <v>20</v>
      </c>
      <c r="G50" s="128">
        <v>20</v>
      </c>
      <c r="H50" s="128">
        <v>20</v>
      </c>
      <c r="I50" s="128">
        <v>20</v>
      </c>
      <c r="J50" s="128">
        <v>20</v>
      </c>
      <c r="K50" s="128">
        <v>20</v>
      </c>
      <c r="L50" s="128">
        <v>20</v>
      </c>
      <c r="M50" s="128">
        <v>20</v>
      </c>
      <c r="N50" s="128">
        <v>20</v>
      </c>
      <c r="O50" s="129">
        <v>20</v>
      </c>
      <c r="P50"/>
      <c r="R50"/>
      <c r="S50"/>
      <c r="T50"/>
    </row>
    <row r="51" spans="1:21" x14ac:dyDescent="0.25">
      <c r="B51" s="34"/>
      <c r="C51" s="70" t="s">
        <v>6</v>
      </c>
      <c r="D51" s="127">
        <v>22.57</v>
      </c>
      <c r="E51" s="128">
        <v>22.57</v>
      </c>
      <c r="F51" s="128">
        <v>33.299999999999997</v>
      </c>
      <c r="G51" s="128">
        <v>33.049999999999997</v>
      </c>
      <c r="H51" s="128">
        <v>36.200000000000003</v>
      </c>
      <c r="I51" s="128">
        <v>35.866666666666667</v>
      </c>
      <c r="J51" s="128">
        <v>35.533333333333331</v>
      </c>
      <c r="K51" s="128">
        <v>35.200000000000003</v>
      </c>
      <c r="L51" s="128">
        <v>34.866666666666667</v>
      </c>
      <c r="M51" s="128">
        <v>34.533333333333331</v>
      </c>
      <c r="N51" s="128">
        <v>34.200000000000003</v>
      </c>
      <c r="O51" s="128">
        <v>33.866666666666667</v>
      </c>
      <c r="P51"/>
      <c r="R51"/>
      <c r="S51"/>
      <c r="T51"/>
    </row>
    <row r="52" spans="1:21" x14ac:dyDescent="0.25">
      <c r="B52" s="34"/>
      <c r="C52" s="70" t="s">
        <v>26</v>
      </c>
      <c r="D52" s="127">
        <v>35</v>
      </c>
      <c r="E52" s="128">
        <v>35</v>
      </c>
      <c r="F52" s="128">
        <v>35</v>
      </c>
      <c r="G52" s="128">
        <v>35</v>
      </c>
      <c r="H52" s="128">
        <v>35</v>
      </c>
      <c r="I52" s="128">
        <v>35</v>
      </c>
      <c r="J52" s="128">
        <v>35</v>
      </c>
      <c r="K52" s="128">
        <v>35</v>
      </c>
      <c r="L52" s="128">
        <v>35</v>
      </c>
      <c r="M52" s="128">
        <v>35</v>
      </c>
      <c r="N52" s="128">
        <v>35</v>
      </c>
      <c r="O52" s="129">
        <v>35</v>
      </c>
      <c r="P52"/>
      <c r="R52"/>
      <c r="S52"/>
      <c r="T52"/>
    </row>
    <row r="53" spans="1:21" x14ac:dyDescent="0.25">
      <c r="B53" s="34"/>
      <c r="C53" s="70" t="s">
        <v>92</v>
      </c>
      <c r="D53" s="127">
        <v>43.872</v>
      </c>
      <c r="E53" s="128">
        <v>43.872</v>
      </c>
      <c r="F53" s="128">
        <v>42</v>
      </c>
      <c r="G53" s="128">
        <v>39.5</v>
      </c>
      <c r="H53" s="128">
        <v>37</v>
      </c>
      <c r="I53" s="128">
        <v>34.5</v>
      </c>
      <c r="J53" s="128">
        <v>32</v>
      </c>
      <c r="K53" s="128">
        <v>32</v>
      </c>
      <c r="L53" s="128">
        <v>32</v>
      </c>
      <c r="M53" s="128">
        <v>32</v>
      </c>
      <c r="N53" s="128">
        <v>32</v>
      </c>
      <c r="O53" s="128">
        <v>32</v>
      </c>
      <c r="P53"/>
      <c r="R53"/>
      <c r="S53"/>
      <c r="T53"/>
    </row>
    <row r="54" spans="1:21" x14ac:dyDescent="0.25">
      <c r="B54" s="34"/>
      <c r="C54" s="70" t="s">
        <v>93</v>
      </c>
      <c r="D54" s="128">
        <v>30.2</v>
      </c>
      <c r="E54" s="128">
        <v>30.2</v>
      </c>
      <c r="F54" s="168">
        <v>30.9</v>
      </c>
      <c r="G54" s="168">
        <v>29.9</v>
      </c>
      <c r="H54" s="168">
        <v>28.9</v>
      </c>
      <c r="I54" s="168">
        <v>27.9</v>
      </c>
      <c r="J54" s="168">
        <v>26</v>
      </c>
      <c r="K54" s="168">
        <v>26</v>
      </c>
      <c r="L54" s="168">
        <v>26</v>
      </c>
      <c r="M54" s="168">
        <v>26</v>
      </c>
      <c r="N54" s="168">
        <v>26</v>
      </c>
      <c r="O54" s="168">
        <v>26</v>
      </c>
      <c r="P54"/>
      <c r="R54"/>
      <c r="S54"/>
      <c r="T54"/>
    </row>
    <row r="55" spans="1:21" x14ac:dyDescent="0.25">
      <c r="B55" s="34"/>
      <c r="C55" s="70" t="s">
        <v>77</v>
      </c>
      <c r="D55" s="128">
        <v>19.53</v>
      </c>
      <c r="E55" s="128">
        <v>19.53</v>
      </c>
      <c r="F55" s="128">
        <v>20</v>
      </c>
      <c r="G55" s="128">
        <v>19.5</v>
      </c>
      <c r="H55" s="128">
        <v>19</v>
      </c>
      <c r="I55" s="128">
        <v>18.5</v>
      </c>
      <c r="J55" s="128">
        <v>18</v>
      </c>
      <c r="K55" s="128">
        <v>17.5</v>
      </c>
      <c r="L55" s="128">
        <v>17</v>
      </c>
      <c r="M55" s="128">
        <v>16.5</v>
      </c>
      <c r="N55" s="128">
        <v>16</v>
      </c>
      <c r="O55" s="128">
        <v>15.5</v>
      </c>
      <c r="P55"/>
      <c r="R55"/>
      <c r="S55"/>
      <c r="T55"/>
    </row>
    <row r="56" spans="1:21" x14ac:dyDescent="0.25">
      <c r="B56" s="34"/>
      <c r="C56" s="70" t="s">
        <v>8</v>
      </c>
      <c r="D56" s="127">
        <v>35</v>
      </c>
      <c r="E56" s="128">
        <v>35</v>
      </c>
      <c r="F56" s="128">
        <v>30</v>
      </c>
      <c r="G56" s="128">
        <v>30</v>
      </c>
      <c r="H56" s="128">
        <v>30</v>
      </c>
      <c r="I56" s="128">
        <v>30</v>
      </c>
      <c r="J56" s="128">
        <v>30</v>
      </c>
      <c r="K56" s="128">
        <v>30</v>
      </c>
      <c r="L56" s="128">
        <v>30</v>
      </c>
      <c r="M56" s="128">
        <v>30</v>
      </c>
      <c r="N56" s="128">
        <v>30</v>
      </c>
      <c r="O56" s="128">
        <v>30</v>
      </c>
      <c r="P56"/>
      <c r="R56"/>
      <c r="S56"/>
      <c r="T56"/>
    </row>
    <row r="57" spans="1:21" x14ac:dyDescent="0.25">
      <c r="B57" s="34"/>
      <c r="C57" s="70" t="s">
        <v>82</v>
      </c>
      <c r="D57" s="128">
        <v>70.5</v>
      </c>
      <c r="E57" s="128">
        <v>70.5</v>
      </c>
      <c r="F57" s="168">
        <v>79.900000000000006</v>
      </c>
      <c r="G57" s="168">
        <v>79.900000000000006</v>
      </c>
      <c r="H57" s="168">
        <v>79.900000000000006</v>
      </c>
      <c r="I57" s="168">
        <v>79.900000000000006</v>
      </c>
      <c r="J57" s="168">
        <v>80.7</v>
      </c>
      <c r="K57" s="168">
        <v>80.7</v>
      </c>
      <c r="L57" s="168">
        <v>80.7</v>
      </c>
      <c r="M57" s="168">
        <v>80.7</v>
      </c>
      <c r="N57" s="168">
        <v>80.7</v>
      </c>
      <c r="O57" s="168">
        <v>80.7</v>
      </c>
      <c r="P57"/>
      <c r="R57"/>
      <c r="S57"/>
      <c r="T57"/>
    </row>
    <row r="58" spans="1:21" x14ac:dyDescent="0.25">
      <c r="B58" s="34"/>
      <c r="C58" s="70" t="s">
        <v>72</v>
      </c>
      <c r="D58" s="128">
        <v>29</v>
      </c>
      <c r="E58" s="128">
        <v>20</v>
      </c>
      <c r="F58" s="168">
        <v>19.8</v>
      </c>
      <c r="G58" s="168">
        <v>18.3</v>
      </c>
      <c r="H58" s="168">
        <v>17.5</v>
      </c>
      <c r="I58" s="168">
        <v>17.7</v>
      </c>
      <c r="J58" s="168">
        <v>17.7</v>
      </c>
      <c r="K58" s="168">
        <v>17.7</v>
      </c>
      <c r="L58" s="168">
        <v>17.7</v>
      </c>
      <c r="M58" s="168">
        <v>17.7</v>
      </c>
      <c r="N58" s="168">
        <v>17.7</v>
      </c>
      <c r="O58" s="168">
        <v>17.7</v>
      </c>
      <c r="P58"/>
      <c r="R58"/>
      <c r="S58"/>
      <c r="T58"/>
    </row>
    <row r="59" spans="1:21" ht="15.75" thickBot="1" x14ac:dyDescent="0.3">
      <c r="B59" s="34"/>
      <c r="C59" s="70" t="s">
        <v>94</v>
      </c>
      <c r="D59" s="131">
        <v>34.903333333333329</v>
      </c>
      <c r="E59" s="132">
        <v>34.903333333333329</v>
      </c>
      <c r="F59" s="168">
        <f>105.16/4</f>
        <v>26.29</v>
      </c>
      <c r="G59" s="168">
        <f t="shared" ref="G59:O59" si="12">$F$59*G54/$F$54</f>
        <v>25.439190938511324</v>
      </c>
      <c r="H59" s="168">
        <f t="shared" si="12"/>
        <v>24.588381877022652</v>
      </c>
      <c r="I59" s="168">
        <f t="shared" si="12"/>
        <v>23.73757281553398</v>
      </c>
      <c r="J59" s="168">
        <f t="shared" si="12"/>
        <v>22.1210355987055</v>
      </c>
      <c r="K59" s="168">
        <f t="shared" si="12"/>
        <v>22.1210355987055</v>
      </c>
      <c r="L59" s="168">
        <f t="shared" si="12"/>
        <v>22.1210355987055</v>
      </c>
      <c r="M59" s="168">
        <f t="shared" si="12"/>
        <v>22.1210355987055</v>
      </c>
      <c r="N59" s="168">
        <f t="shared" si="12"/>
        <v>22.1210355987055</v>
      </c>
      <c r="O59" s="168">
        <f t="shared" si="12"/>
        <v>22.1210355987055</v>
      </c>
      <c r="P59"/>
      <c r="R59"/>
      <c r="S59"/>
      <c r="T59"/>
    </row>
    <row r="60" spans="1:21" ht="15.75" thickBot="1" x14ac:dyDescent="0.3">
      <c r="B60" s="34"/>
      <c r="C60" s="70" t="s">
        <v>10</v>
      </c>
      <c r="D60" s="137">
        <v>99.18</v>
      </c>
      <c r="E60" s="138">
        <v>99.18</v>
      </c>
      <c r="F60" s="169">
        <v>99.78</v>
      </c>
      <c r="G60" s="169">
        <f>F60</f>
        <v>99.78</v>
      </c>
      <c r="H60" s="169">
        <f t="shared" ref="H60:O60" si="13">G60</f>
        <v>99.78</v>
      </c>
      <c r="I60" s="169">
        <f t="shared" si="13"/>
        <v>99.78</v>
      </c>
      <c r="J60" s="169">
        <f t="shared" si="13"/>
        <v>99.78</v>
      </c>
      <c r="K60" s="169">
        <f t="shared" si="13"/>
        <v>99.78</v>
      </c>
      <c r="L60" s="169">
        <f t="shared" si="13"/>
        <v>99.78</v>
      </c>
      <c r="M60" s="169">
        <f t="shared" si="13"/>
        <v>99.78</v>
      </c>
      <c r="N60" s="169">
        <f t="shared" si="13"/>
        <v>99.78</v>
      </c>
      <c r="O60" s="169">
        <f t="shared" si="13"/>
        <v>99.78</v>
      </c>
      <c r="P60"/>
      <c r="R60"/>
      <c r="S60"/>
      <c r="T60"/>
    </row>
    <row r="61" spans="1:21" ht="15.75" thickBot="1" x14ac:dyDescent="0.3">
      <c r="B61" s="34"/>
      <c r="C61" s="70" t="s">
        <v>11</v>
      </c>
      <c r="D61" s="139">
        <v>98.03</v>
      </c>
      <c r="E61" s="140">
        <v>98.03</v>
      </c>
      <c r="F61" s="169">
        <f>$C$4</f>
        <v>102.01</v>
      </c>
      <c r="G61" s="169">
        <f t="shared" ref="G61:O61" si="14">$C$4</f>
        <v>102.01</v>
      </c>
      <c r="H61" s="169">
        <f t="shared" si="14"/>
        <v>102.01</v>
      </c>
      <c r="I61" s="169">
        <f t="shared" si="14"/>
        <v>102.01</v>
      </c>
      <c r="J61" s="169">
        <f t="shared" si="14"/>
        <v>102.01</v>
      </c>
      <c r="K61" s="169">
        <f t="shared" si="14"/>
        <v>102.01</v>
      </c>
      <c r="L61" s="169">
        <f t="shared" si="14"/>
        <v>102.01</v>
      </c>
      <c r="M61" s="169">
        <f t="shared" si="14"/>
        <v>102.01</v>
      </c>
      <c r="N61" s="169">
        <f t="shared" si="14"/>
        <v>102.01</v>
      </c>
      <c r="O61" s="169">
        <f t="shared" si="14"/>
        <v>102.01</v>
      </c>
      <c r="R61"/>
      <c r="S61"/>
      <c r="T61"/>
      <c r="U61"/>
    </row>
    <row r="62" spans="1:21" x14ac:dyDescent="0.25">
      <c r="A62" s="34"/>
      <c r="B62" s="39"/>
      <c r="P62" s="147"/>
      <c r="R62"/>
      <c r="S62"/>
      <c r="T62"/>
      <c r="U62"/>
    </row>
    <row r="63" spans="1:21" x14ac:dyDescent="0.25">
      <c r="C63" s="33"/>
      <c r="D63" s="155" t="s">
        <v>37</v>
      </c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/>
      <c r="S63"/>
      <c r="U63"/>
    </row>
    <row r="64" spans="1:21" ht="15" customHeight="1" x14ac:dyDescent="0.25">
      <c r="B64" s="34"/>
      <c r="C64" s="36" t="s">
        <v>30</v>
      </c>
      <c r="D64" s="10">
        <v>2014</v>
      </c>
      <c r="E64" s="10">
        <v>2015</v>
      </c>
      <c r="F64" s="10">
        <v>2016</v>
      </c>
      <c r="G64" s="10">
        <v>2017</v>
      </c>
      <c r="H64" s="10">
        <v>2018</v>
      </c>
      <c r="I64" s="10">
        <v>2019</v>
      </c>
      <c r="J64" s="10">
        <v>2020</v>
      </c>
      <c r="K64" s="104">
        <v>2021</v>
      </c>
      <c r="L64" s="104">
        <v>2022</v>
      </c>
      <c r="M64" s="104">
        <v>2023</v>
      </c>
      <c r="N64" s="104">
        <v>2024</v>
      </c>
      <c r="O64" s="104">
        <v>2025</v>
      </c>
      <c r="P64"/>
      <c r="S64"/>
      <c r="U64"/>
    </row>
    <row r="65" spans="2:21" x14ac:dyDescent="0.25">
      <c r="B65" s="34"/>
      <c r="C65" s="36" t="s">
        <v>4</v>
      </c>
      <c r="D65" s="27">
        <f>(D3-D45)*D96/10^6</f>
        <v>1.4757467009999996</v>
      </c>
      <c r="E65" s="27">
        <f>(E3-E45)*E96/10^6</f>
        <v>1.4339239199999998</v>
      </c>
      <c r="F65" s="27">
        <f>(F3-F45)*F96/10^6</f>
        <v>2.3762460321599992</v>
      </c>
      <c r="G65" s="27">
        <f>(G3-G45)*G96/10^6</f>
        <v>2.1208901999999998</v>
      </c>
      <c r="H65" s="27">
        <f>(H3-H45)*H96/10^6</f>
        <v>1.7853746624999998</v>
      </c>
      <c r="I65" s="27">
        <f>(I3-I45)*I96/10^6</f>
        <v>1.5332031000000002</v>
      </c>
      <c r="J65" s="27">
        <f>(J3-J45)*J96/10^6</f>
        <v>1.3476863400000003</v>
      </c>
      <c r="K65" s="27">
        <f>(K3-K45)*K96/10^6</f>
        <v>1.2040657200000002</v>
      </c>
      <c r="L65" s="27">
        <f>(L3-L45)*L96/10^6</f>
        <v>1.1485574100000002</v>
      </c>
      <c r="M65" s="27">
        <f>(M3-M45)*M96/10^6</f>
        <v>1.0306531950000002</v>
      </c>
      <c r="N65" s="27">
        <f>(N3-N45)*N96/10^6</f>
        <v>0.90052248000000024</v>
      </c>
      <c r="O65" s="27">
        <f>(O3-O45)*O96/10^6</f>
        <v>0.7465011840000001</v>
      </c>
      <c r="P65" s="120"/>
      <c r="Q65" s="120"/>
      <c r="R65" s="120"/>
      <c r="S65"/>
      <c r="U65"/>
    </row>
    <row r="66" spans="2:21" x14ac:dyDescent="0.25">
      <c r="B66" s="69"/>
      <c r="C66" s="70" t="s">
        <v>5</v>
      </c>
      <c r="D66" s="71">
        <f>(D3-D46)*D97/1000000</f>
        <v>7.9323575759999987E-3</v>
      </c>
      <c r="E66" s="71">
        <f>(E3-E46)*E97/1000000</f>
        <v>0.34552088999999991</v>
      </c>
      <c r="F66" s="71">
        <f>(F3-F46)*F97/1000000</f>
        <v>0.85589673311999992</v>
      </c>
      <c r="G66" s="71">
        <f>(G3-G46)*G97/1000000</f>
        <v>1.0498487999999999</v>
      </c>
      <c r="H66" s="71">
        <f>(H3-H46)*H97/1000000</f>
        <v>1.4421156749999997</v>
      </c>
      <c r="I66" s="71">
        <f>(I3-I46)*I97/1000000</f>
        <v>1.58390232</v>
      </c>
      <c r="J66" s="71">
        <f>(J3-J46)*J97/1000000</f>
        <v>1.7099982900000004</v>
      </c>
      <c r="K66" s="71">
        <f>(K3-K46)*K97/1000000</f>
        <v>1.9203756000000001</v>
      </c>
      <c r="L66" s="71">
        <f>(L3-L46)*L97/1000000</f>
        <v>1.9407531</v>
      </c>
      <c r="M66" s="71">
        <f>(M3-M46)*M97/1000000</f>
        <v>1.9611306000000002</v>
      </c>
      <c r="N66" s="71">
        <f>(N3-N46)*N97/1000000</f>
        <v>1.9815081000000001</v>
      </c>
      <c r="O66" s="71">
        <f>(O3-O46)*O97/1000000</f>
        <v>2.0018856</v>
      </c>
      <c r="P66" s="120"/>
      <c r="Q66" s="120"/>
      <c r="R66" s="120"/>
      <c r="S66"/>
      <c r="U66"/>
    </row>
    <row r="67" spans="2:21" x14ac:dyDescent="0.25">
      <c r="B67" s="69"/>
      <c r="C67" s="121" t="s">
        <v>41</v>
      </c>
      <c r="D67" s="71">
        <f>(D3-D47)*D98/10^6</f>
        <v>0.21091038539999987</v>
      </c>
      <c r="E67" s="71">
        <f>(E3-E47)*E98/10^6</f>
        <v>0.15739580999999991</v>
      </c>
      <c r="F67" s="71">
        <f>(F3-F47)*F98/10^6</f>
        <v>0.21602236655999993</v>
      </c>
      <c r="G67" s="71">
        <f>(G3-G47)*G98/10^6</f>
        <v>0.21208901999999999</v>
      </c>
      <c r="H67" s="71">
        <f>(H3-H47)*H98/10^6</f>
        <v>0.21640904999999999</v>
      </c>
      <c r="I67" s="71">
        <f>(I3-I47)*I98/10^6</f>
        <v>0.20442708000000001</v>
      </c>
      <c r="J67" s="71">
        <f>(J3-J47)*J98/10^6</f>
        <v>0.19252662000000006</v>
      </c>
      <c r="K67" s="71">
        <f>(K3-K47)*K98/10^6</f>
        <v>0.20067762000000006</v>
      </c>
      <c r="L67" s="71">
        <f>(L3-L47)*L98/10^6</f>
        <v>0.20882862000000005</v>
      </c>
      <c r="M67" s="71">
        <f>(M3-M47)*M98/10^6</f>
        <v>0.21697962000000004</v>
      </c>
      <c r="N67" s="71">
        <f>(N3-N47)*N98/10^6</f>
        <v>0.22513062000000006</v>
      </c>
      <c r="O67" s="71">
        <f>(O3-O47)*O98/10^6</f>
        <v>0.23328162000000005</v>
      </c>
      <c r="P67" s="120"/>
      <c r="Q67" s="120"/>
      <c r="R67" s="120"/>
      <c r="S67"/>
    </row>
    <row r="68" spans="2:21" x14ac:dyDescent="0.25">
      <c r="B68" s="69"/>
      <c r="C68" s="70" t="s">
        <v>64</v>
      </c>
      <c r="D68" s="71">
        <f>(D3-D48)*D99/10^6</f>
        <v>0</v>
      </c>
      <c r="E68" s="71">
        <f>(E3-E48)*E99/10^6</f>
        <v>0</v>
      </c>
      <c r="F68" s="71">
        <f>(F3-F48)*F99/10^6</f>
        <v>0</v>
      </c>
      <c r="G68" s="71">
        <f>(G3-G48)*G99/10^6</f>
        <v>0</v>
      </c>
      <c r="H68" s="71">
        <f>(H3-H48)*H99/10^6</f>
        <v>0</v>
      </c>
      <c r="I68" s="71">
        <f>(I3-I48)*I99/10^6</f>
        <v>0</v>
      </c>
      <c r="J68" s="71">
        <f>(J3-J48)*J99/10^6</f>
        <v>0</v>
      </c>
      <c r="K68" s="71">
        <f>(K3-K48)*K99/10^6</f>
        <v>0</v>
      </c>
      <c r="L68" s="71">
        <f>(L3-L48)*L99/10^6</f>
        <v>0</v>
      </c>
      <c r="M68" s="71">
        <f>(M3-M48)*M99/10^6</f>
        <v>0</v>
      </c>
      <c r="N68" s="71">
        <f>(N3-N48)*N99/10^6</f>
        <v>0</v>
      </c>
      <c r="O68" s="71">
        <f>(O3-O48)*O99/10^6</f>
        <v>0</v>
      </c>
      <c r="P68" s="120"/>
      <c r="Q68" s="120"/>
      <c r="R68" s="120"/>
      <c r="U68"/>
    </row>
    <row r="69" spans="2:21" x14ac:dyDescent="0.25">
      <c r="B69" s="69"/>
      <c r="C69" s="122" t="s">
        <v>67</v>
      </c>
      <c r="D69" s="71">
        <f>(D3-E49)*D100/10^6</f>
        <v>0.12972446915999997</v>
      </c>
      <c r="E69" s="71">
        <f>(E3-F49)*E100/10^6</f>
        <v>0.13432847999999997</v>
      </c>
      <c r="F69" s="71">
        <f>(F3-G49)*F100/10^6</f>
        <v>0.13103775828</v>
      </c>
      <c r="G69" s="71">
        <f>(G3-H49)*G100/10^6</f>
        <v>0.19142725387500004</v>
      </c>
      <c r="H69" s="71">
        <f>(H3-I49)*H100/10^6</f>
        <v>0.18633531398625003</v>
      </c>
      <c r="I69" s="71">
        <f>(I3-J49)*I100/10^6</f>
        <v>0.17509117872138752</v>
      </c>
      <c r="J69" s="71">
        <f>(J4-J49)*J100/10^6</f>
        <v>0.17955385122138756</v>
      </c>
      <c r="K69" s="71">
        <f>(K4-K49)*K100/10^6</f>
        <v>0.18337088753417366</v>
      </c>
      <c r="L69" s="71">
        <f>(L4-L49)*L100/10^6</f>
        <v>0.18714975348383195</v>
      </c>
      <c r="M69" s="71">
        <f>(M4-M49)*M100/10^6</f>
        <v>0.1908908307739936</v>
      </c>
      <c r="N69" s="71">
        <f>(N4-N49)*N100/10^6</f>
        <v>0.19459449729125367</v>
      </c>
      <c r="O69" s="71">
        <f>(O4-O49)*O100/10^6</f>
        <v>0.19826112714334115</v>
      </c>
      <c r="P69"/>
      <c r="U69"/>
    </row>
    <row r="70" spans="2:21" x14ac:dyDescent="0.25">
      <c r="B70" s="34"/>
      <c r="C70" s="36" t="s">
        <v>27</v>
      </c>
      <c r="D70" s="24">
        <f>(D3-D50)*D101/10^6</f>
        <v>0</v>
      </c>
      <c r="E70" s="24">
        <f>(E3-E50)*E101/10^6</f>
        <v>0</v>
      </c>
      <c r="F70" s="24">
        <f>(F3-F50)*F101/10^6</f>
        <v>3.1178618327999997E-2</v>
      </c>
      <c r="G70" s="24">
        <f>(G3-G50)*G101/10^6</f>
        <v>9.1723203000000003E-2</v>
      </c>
      <c r="H70" s="24">
        <f>(H3-H50)*H101/10^6</f>
        <v>0.29975302500000001</v>
      </c>
      <c r="I70" s="24">
        <f>(I3-I50)*I101/10^6</f>
        <v>0.43452981000000002</v>
      </c>
      <c r="J70" s="24">
        <f>(J3-J50)*J101/10^6</f>
        <v>0.55932162000000007</v>
      </c>
      <c r="K70" s="24">
        <f>(K3-K50)*K101/10^6</f>
        <v>1.1186432400000001</v>
      </c>
      <c r="L70" s="24">
        <f>(L3-L50)*L101/10^6</f>
        <v>1.3983040500000001</v>
      </c>
      <c r="M70" s="24">
        <f>(M3-M50)*M101/10^6</f>
        <v>1.6779648600000001</v>
      </c>
      <c r="N70" s="24">
        <f>(N3-N50)*N101/10^6</f>
        <v>1.9576256700000001</v>
      </c>
      <c r="O70" s="24">
        <f>(O3-O50)*O101/10^6</f>
        <v>2.2372864800000003</v>
      </c>
      <c r="P70"/>
      <c r="U70"/>
    </row>
    <row r="71" spans="2:21" x14ac:dyDescent="0.25">
      <c r="B71" s="34"/>
      <c r="C71" s="36" t="s">
        <v>6</v>
      </c>
      <c r="D71" s="24">
        <f>(D3-D51)*D102/10^6</f>
        <v>3.4412217839999995E-2</v>
      </c>
      <c r="E71" s="24">
        <f>(E3-E51)*E102/10^6</f>
        <v>0.12290077799999997</v>
      </c>
      <c r="F71" s="24">
        <f>(F3-F51)*F102/10^6</f>
        <v>0.20606562662399996</v>
      </c>
      <c r="G71" s="24">
        <f>(G3-G51)*G102/10^6</f>
        <v>0.20204698800000001</v>
      </c>
      <c r="H71" s="24">
        <f>(H3-H51)*H102/10^6</f>
        <v>0.28047590999999999</v>
      </c>
      <c r="I71" s="24">
        <f>(I3-I51)*I102/10^6</f>
        <v>0.27002632800000004</v>
      </c>
      <c r="J71" s="24">
        <f>(J3-J51)*J102/10^6</f>
        <v>0.25962565200000004</v>
      </c>
      <c r="K71" s="24">
        <f>(K3-K51)*K102/10^6</f>
        <v>0.26125585200000001</v>
      </c>
      <c r="L71" s="24">
        <f>(L3-L51)*L102/10^6</f>
        <v>0.26288605200000004</v>
      </c>
      <c r="M71" s="24">
        <f>(M3-M51)*M102/10^6</f>
        <v>0.26451625200000006</v>
      </c>
      <c r="N71" s="24">
        <f>(N3-N51)*N102/10^6</f>
        <v>0.26614645200000003</v>
      </c>
      <c r="O71" s="24">
        <f>(O3-O51)*O102/10^6</f>
        <v>0.26777665200000006</v>
      </c>
      <c r="P71"/>
      <c r="U71"/>
    </row>
    <row r="72" spans="2:21" x14ac:dyDescent="0.25">
      <c r="B72" s="34"/>
      <c r="C72" s="32" t="s">
        <v>26</v>
      </c>
      <c r="D72" s="24">
        <f>(D3-D52)*D103/10^6</f>
        <v>0</v>
      </c>
      <c r="E72" s="24">
        <f>(E3-E52)*E103/10^6</f>
        <v>0</v>
      </c>
      <c r="F72" s="24">
        <f>(F3-F52)*F103/10^6</f>
        <v>0</v>
      </c>
      <c r="G72" s="24">
        <f>(G3-G52)*G103/10^6</f>
        <v>0</v>
      </c>
      <c r="H72" s="24">
        <f>(H3-H52)*H103/10^6</f>
        <v>3.4992407499999996E-2</v>
      </c>
      <c r="I72" s="24">
        <f>(I3-I52)*I103/10^6</f>
        <v>0.100548636</v>
      </c>
      <c r="J72" s="24">
        <f>(J3-J52)*J103/10^6</f>
        <v>0.16022996500000003</v>
      </c>
      <c r="K72" s="24">
        <f>(K3-K52)*K103/10^6</f>
        <v>0.32045993000000006</v>
      </c>
      <c r="L72" s="24">
        <f>(L3-L52)*L103/10^6</f>
        <v>0.64091986000000012</v>
      </c>
      <c r="M72" s="24">
        <f>(M3-M52)*M103/10^6</f>
        <v>0.96137979000000007</v>
      </c>
      <c r="N72" s="24">
        <f>(N3-N52)*N103/10^6</f>
        <v>1.2818397200000002</v>
      </c>
      <c r="O72" s="24">
        <f>(O3-O52)*O103/10^6</f>
        <v>1.6022996500000002</v>
      </c>
      <c r="P72" s="76"/>
      <c r="Q72" s="118"/>
      <c r="U72"/>
    </row>
    <row r="73" spans="2:21" ht="17.25" customHeight="1" x14ac:dyDescent="0.25">
      <c r="B73" s="34"/>
      <c r="C73" s="70" t="str">
        <f>A104</f>
        <v>CNG in LDVs and MDVs</v>
      </c>
      <c r="D73" s="170">
        <f>(D3-((D57*0.65)+(D58*0.35)))*D104/10^6</f>
        <v>8.2673083349999982E-2</v>
      </c>
      <c r="E73" s="170">
        <f>(E3-((E57*0.65)+(E58*0.35)))*E104/10^6</f>
        <v>8.8875779849999975E-2</v>
      </c>
      <c r="F73" s="170">
        <f>(F3-((F57*0.33)+(F58*0.67)))*F104/10^6</f>
        <v>0.11198241929159997</v>
      </c>
      <c r="G73" s="170">
        <f>(G3-((G57*0.33)+(G58*0.67)))*G104/10^6</f>
        <v>0.11104205111999997</v>
      </c>
      <c r="H73" s="170">
        <f>(H3-((H57*0.33)+(H58*0.67)))*H104/10^6</f>
        <v>0.10920290237999997</v>
      </c>
      <c r="I73" s="170">
        <f>(I3-((I57*0.33)+(I58*0.67)))*I104/10^6</f>
        <v>0.10407533993999997</v>
      </c>
      <c r="J73" s="170">
        <f>(J3-((J57*0.33)+(J58*0.67)))*J104/10^6</f>
        <v>9.8711484299999999E-2</v>
      </c>
      <c r="K73" s="170">
        <f>(K3-((K57*0.33)+(K58*0.67)))*K104/10^6</f>
        <v>9.8711484299999999E-2</v>
      </c>
      <c r="L73" s="170">
        <f>(L3-((L57*0.33)+(L58*0.67)))*L104/10^6</f>
        <v>9.8711484299999999E-2</v>
      </c>
      <c r="M73" s="170">
        <f>(M3-((M57*0.33)+(M58*0.67)))*M104/10^6</f>
        <v>9.8711484299999999E-2</v>
      </c>
      <c r="N73" s="170">
        <f>(N3-((N57*0.33)+(N58*0.67)))*N104/10^6</f>
        <v>9.8711484299999999E-2</v>
      </c>
      <c r="O73" s="170">
        <f>(O3-((O57*0.33)+(O58*0.67)))*O104/10^6</f>
        <v>9.8711484299999999E-2</v>
      </c>
      <c r="P73"/>
      <c r="U73"/>
    </row>
    <row r="74" spans="2:21" x14ac:dyDescent="0.25">
      <c r="B74" s="34"/>
      <c r="C74" s="70" t="s">
        <v>12</v>
      </c>
      <c r="D74" s="24">
        <f>2.7*(D3-D53)*D105/10^6</f>
        <v>5.9658019118181808E-4</v>
      </c>
      <c r="E74" s="24">
        <f>2.7*(E3-E53)*E105/10^6</f>
        <v>6.3635220392727274E-3</v>
      </c>
      <c r="F74" s="24">
        <f>2.7*(F3-F53)*F105/10^6</f>
        <v>1.2824591101789089E-2</v>
      </c>
      <c r="G74" s="24">
        <f>2.7*(G3-G53)*G105/10^6</f>
        <v>3.2659993309090904E-2</v>
      </c>
      <c r="H74" s="24">
        <f>2.7*(H3-H53)*H105/10^6</f>
        <v>6.6531794727272733E-2</v>
      </c>
      <c r="I74" s="24">
        <f>2.7*(I3-I53)*I105/10^6</f>
        <v>9.9850635163636348E-2</v>
      </c>
      <c r="J74" s="24">
        <f>2.7*(J3-J53)*J105/10^6</f>
        <v>0.13322830123636364</v>
      </c>
      <c r="K74" s="24">
        <f>2.7*(K3-K53)*K105/10^6</f>
        <v>0.18318891420000002</v>
      </c>
      <c r="L74" s="24">
        <f>2.7*(L3-L53)*L105/10^6</f>
        <v>0.23314952716363638</v>
      </c>
      <c r="M74" s="24">
        <f>2.7*(M3-M53)*M105/10^6</f>
        <v>0.29976367778181823</v>
      </c>
      <c r="N74" s="24">
        <f>2.7*(N3-N53)*N105/10^6</f>
        <v>0.38303136605454552</v>
      </c>
      <c r="O74" s="24">
        <f>2.7*(O3-O53)*O105/10^6</f>
        <v>0.49960612963636364</v>
      </c>
      <c r="P74"/>
      <c r="U74"/>
    </row>
    <row r="75" spans="2:21" x14ac:dyDescent="0.25">
      <c r="B75" s="34"/>
      <c r="C75" s="70" t="s">
        <v>7</v>
      </c>
      <c r="D75" s="24">
        <f>3.4*(D3-D54)*D106/10^6</f>
        <v>0.24422598119487582</v>
      </c>
      <c r="E75" s="24">
        <f>3.4*(E3-E54)*E106/10^6</f>
        <v>0.36454602593451629</v>
      </c>
      <c r="F75" s="24">
        <f>3.4*(F3-F54)*F106/10^6</f>
        <v>0.47822815297591104</v>
      </c>
      <c r="G75" s="24">
        <f>3.4*(G3-G54)*G106/10^6</f>
        <v>0.60495118837058337</v>
      </c>
      <c r="H75" s="24">
        <f>3.4*(H3-H54)*H106/10^6</f>
        <v>0.77689470838045671</v>
      </c>
      <c r="I75" s="24">
        <f>3.4*(I3-I54)*I106/10^6</f>
        <v>0.98668321659420288</v>
      </c>
      <c r="J75" s="24">
        <f>3.4*(J3-J54)*J106/10^6</f>
        <v>1.2484099337092063</v>
      </c>
      <c r="K75" s="24">
        <f>3.4*(K3-K54)*K106/10^6</f>
        <v>1.5820607758955483</v>
      </c>
      <c r="L75" s="24">
        <f>3.4*(L3-L54)*L106/10^6</f>
        <v>1.9645311724640464</v>
      </c>
      <c r="M75" s="24">
        <f>3.4*(M3-M54)*M106/10^6</f>
        <v>2.3966981247575534</v>
      </c>
      <c r="N75" s="24">
        <f>3.4*(N3-N54)*N106/10^6</f>
        <v>2.8793738794728423</v>
      </c>
      <c r="O75" s="24">
        <f>3.4*(O3-O54)*O106/10^6</f>
        <v>3.352355859901555</v>
      </c>
      <c r="P75"/>
      <c r="U75"/>
    </row>
    <row r="76" spans="2:21" x14ac:dyDescent="0.25">
      <c r="B76" s="69"/>
      <c r="C76" s="70" t="s">
        <v>43</v>
      </c>
      <c r="D76" s="72">
        <f t="shared" ref="D76:O76" si="15">SUM(D65:D75)</f>
        <v>2.186221775712057</v>
      </c>
      <c r="E76" s="72">
        <f t="shared" si="15"/>
        <v>2.6538552058237883</v>
      </c>
      <c r="F76" s="72">
        <f t="shared" si="15"/>
        <v>4.4194822984412987</v>
      </c>
      <c r="G76" s="72">
        <f t="shared" si="15"/>
        <v>4.6166786976746739</v>
      </c>
      <c r="H76" s="72">
        <f t="shared" si="15"/>
        <v>5.1980854494739788</v>
      </c>
      <c r="I76" s="72">
        <f t="shared" si="15"/>
        <v>5.4923376444192265</v>
      </c>
      <c r="J76" s="72">
        <f t="shared" si="15"/>
        <v>5.8892920574669585</v>
      </c>
      <c r="K76" s="72">
        <f t="shared" si="15"/>
        <v>7.0728100239297218</v>
      </c>
      <c r="L76" s="72">
        <f t="shared" si="15"/>
        <v>8.0837910294115147</v>
      </c>
      <c r="M76" s="72">
        <f t="shared" si="15"/>
        <v>9.098688434613365</v>
      </c>
      <c r="N76" s="72">
        <f t="shared" si="15"/>
        <v>10.168484269118643</v>
      </c>
      <c r="O76" s="72">
        <f t="shared" si="15"/>
        <v>11.237965786981261</v>
      </c>
      <c r="P76"/>
      <c r="U76"/>
    </row>
    <row r="77" spans="2:21" x14ac:dyDescent="0.25">
      <c r="B77" s="69"/>
      <c r="C77" s="70" t="s">
        <v>45</v>
      </c>
      <c r="D77" s="71">
        <f>(D3-99.18)*D107/10^6</f>
        <v>-1.8909795256584254</v>
      </c>
      <c r="E77" s="71">
        <f>(E3-99.18)*E107/10^6</f>
        <v>-1.8639763819408444</v>
      </c>
      <c r="F77" s="71">
        <f>(F3-F60)*F107/10^6</f>
        <v>-4.9533490890024456</v>
      </c>
      <c r="G77" s="71">
        <f>(G3-G60)*G107/10^6</f>
        <v>-7.1115021417834452</v>
      </c>
      <c r="H77" s="71">
        <f>(H3-H60)*H107/10^6</f>
        <v>-9.1944783200485389</v>
      </c>
      <c r="I77" s="71">
        <f>(I3-I60)*I107/10^6</f>
        <v>-12.656112620053078</v>
      </c>
      <c r="J77" s="71">
        <f>(J3-J60)*J107/10^6</f>
        <v>-15.970151894097652</v>
      </c>
      <c r="K77" s="71">
        <f>(K3-K60)*K107/10^6</f>
        <v>-15.564106791644868</v>
      </c>
      <c r="L77" s="71">
        <f>(L3-L60)*L107/10^6</f>
        <v>-15.165398726205717</v>
      </c>
      <c r="M77" s="71">
        <f>(M3-M60)*M107/10^6</f>
        <v>-14.783340810461002</v>
      </c>
      <c r="N77" s="71">
        <f>(N3-N60)*N107/10^6</f>
        <v>-14.394840171525662</v>
      </c>
      <c r="O77" s="71">
        <f>(O3-O60)*O107/10^6</f>
        <v>-14.014048996064165</v>
      </c>
      <c r="P77"/>
      <c r="U77"/>
    </row>
    <row r="78" spans="2:21" x14ac:dyDescent="0.25">
      <c r="B78" s="34"/>
      <c r="C78" s="70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/>
      <c r="U78"/>
    </row>
    <row r="79" spans="2:21" x14ac:dyDescent="0.25">
      <c r="B79" s="34"/>
      <c r="C79" s="70"/>
      <c r="D79" s="6">
        <v>2014</v>
      </c>
      <c r="E79" s="6">
        <v>2015</v>
      </c>
      <c r="F79" s="6">
        <v>2016</v>
      </c>
      <c r="G79" s="6">
        <v>2017</v>
      </c>
      <c r="H79" s="6">
        <v>2018</v>
      </c>
      <c r="I79" s="6">
        <v>2019</v>
      </c>
      <c r="J79" s="6">
        <v>2020</v>
      </c>
      <c r="K79" s="6">
        <v>2021</v>
      </c>
      <c r="L79" s="6">
        <v>2022</v>
      </c>
      <c r="M79" s="6">
        <v>2023</v>
      </c>
      <c r="N79" s="6">
        <v>2024</v>
      </c>
      <c r="O79" s="6">
        <v>2025</v>
      </c>
      <c r="P79" s="120"/>
      <c r="Q79" s="120"/>
      <c r="R79" s="120"/>
      <c r="U79"/>
    </row>
    <row r="80" spans="2:21" x14ac:dyDescent="0.25">
      <c r="B80" s="69"/>
      <c r="C80" s="70" t="s">
        <v>79</v>
      </c>
      <c r="D80" s="71">
        <f>(D4-D55)*D111/10^6</f>
        <v>0.63262031088279702</v>
      </c>
      <c r="E80" s="71">
        <f>(E4-E55)*E111/10^6</f>
        <v>0.9484415789123849</v>
      </c>
      <c r="F80" s="71">
        <f>(F4-F55)*F111/10^6</f>
        <v>1.2686514817733803</v>
      </c>
      <c r="G80" s="71">
        <f>(G4-G55)*G111/10^6</f>
        <v>1.5930968952867484</v>
      </c>
      <c r="H80" s="71">
        <f>(H4-H55)*H111/10^6</f>
        <v>1.7688491449298753</v>
      </c>
      <c r="I80" s="71">
        <f>(I4-I55)*I111/10^6</f>
        <v>1.7223064578921878</v>
      </c>
      <c r="J80" s="71">
        <f>(J4-J55)*J111/10^6</f>
        <v>1.6757637708545003</v>
      </c>
      <c r="K80" s="71">
        <f>(K4-K55)*K111/10^6</f>
        <v>1.7339799692345674</v>
      </c>
      <c r="L80" s="71">
        <f>(L4-L55)*L111/10^6</f>
        <v>1.7456471739797872</v>
      </c>
      <c r="M80" s="71">
        <f>(M4-M55)*M111/10^6</f>
        <v>1.757314378725007</v>
      </c>
      <c r="N80" s="71">
        <f>(N4-N55)*N111/10^6</f>
        <v>1.8167918965369896</v>
      </c>
      <c r="O80" s="71">
        <f>(O4-O55)*O111/10^6</f>
        <v>1.8287744311401883</v>
      </c>
      <c r="P80"/>
      <c r="U80"/>
    </row>
    <row r="81" spans="1:21" x14ac:dyDescent="0.25">
      <c r="B81" s="34"/>
      <c r="C81" s="70" t="s">
        <v>8</v>
      </c>
      <c r="D81" s="24">
        <f>(D4-D56)*D112/10^6</f>
        <v>0.91710520499999992</v>
      </c>
      <c r="E81" s="24">
        <f>(E4-E56)*E112/10^6</f>
        <v>1.4480608499999998</v>
      </c>
      <c r="F81" s="24">
        <f>(F4-F56)*F112/10^6</f>
        <v>2.2030776250000002</v>
      </c>
      <c r="G81" s="24">
        <f>(G4-G56)*G112/10^6</f>
        <v>2.6619737999999997</v>
      </c>
      <c r="H81" s="24">
        <f>(H4-H56)*H112/10^6</f>
        <v>2.7759620800000002</v>
      </c>
      <c r="I81" s="24">
        <f>(I4-I56)*I112/10^6</f>
        <v>3.0039386400000003</v>
      </c>
      <c r="J81" s="24">
        <f>(J4-J56)*J112/10^6</f>
        <v>3.2054666000000003</v>
      </c>
      <c r="K81" s="24">
        <f>(K4-K56)*K112/10^6</f>
        <v>4.0068332499999997</v>
      </c>
      <c r="L81" s="24">
        <f>(L4-L56)*L112/10^6</f>
        <v>4.4075165749999998</v>
      </c>
      <c r="M81" s="24">
        <f>(M4-M56)*M112/10^6</f>
        <v>4.8081999</v>
      </c>
      <c r="N81" s="24">
        <f>(N4-N56)*N112/10^6</f>
        <v>4.8081999</v>
      </c>
      <c r="O81" s="24">
        <f>(O4-O56)*O112/10^6</f>
        <v>4.8081999</v>
      </c>
      <c r="P81" s="123"/>
      <c r="Q81" s="118"/>
      <c r="U81"/>
    </row>
    <row r="82" spans="1:21" x14ac:dyDescent="0.25">
      <c r="B82" s="34"/>
      <c r="C82" s="70" t="s">
        <v>73</v>
      </c>
      <c r="D82" s="170">
        <f>(D4-(D57/0.9))*D113*0.9/10^6</f>
        <v>0.19548219904500005</v>
      </c>
      <c r="E82" s="170">
        <f>(E4-(E57/0.9))*E113*0.9/10^6</f>
        <v>0.1585603005</v>
      </c>
      <c r="F82" s="170">
        <f>(F4-(F57/0.9))*F113*0.9/10^6</f>
        <v>8.3435273249999928E-2</v>
      </c>
      <c r="G82" s="170">
        <f>(G4-(G57/0.9))*G113*0.9/10^6</f>
        <v>8.7701333999999909E-2</v>
      </c>
      <c r="H82" s="170">
        <f>(H4-(H57/0.9))*H113*0.9/10^6</f>
        <v>7.3813944749999902E-2</v>
      </c>
      <c r="I82" s="170">
        <f>(I4-(I57/0.9))*I113*0.9/10^6</f>
        <v>5.0668295999999925E-2</v>
      </c>
      <c r="J82" s="170">
        <f>(J4-(J57/0.9))*J113*0.9/10^6</f>
        <v>1.4266594649999985E-2</v>
      </c>
      <c r="K82" s="170">
        <f>(K4-(K57/0.9))*K113*0.9/10^6</f>
        <v>9.0787420499999875E-3</v>
      </c>
      <c r="L82" s="170">
        <f>(L4-(L57/0.9))*L113*0.9/10^6</f>
        <v>9.0787420499999875E-3</v>
      </c>
      <c r="M82" s="170">
        <f>(M4-(M57/0.9))*M113*0.9/10^6</f>
        <v>9.0787420499999875E-3</v>
      </c>
      <c r="N82" s="170">
        <f>(N4-(N57/0.9))*N113*0.9/10^6</f>
        <v>9.0787420499999875E-3</v>
      </c>
      <c r="O82" s="170">
        <f>(O4-(O57/0.9))*O113*0.9/10^6</f>
        <v>9.0787420499999875E-3</v>
      </c>
      <c r="P82" s="123"/>
      <c r="Q82" s="118"/>
      <c r="U82"/>
    </row>
    <row r="83" spans="1:21" x14ac:dyDescent="0.25">
      <c r="B83" s="34"/>
      <c r="C83" s="70" t="s">
        <v>72</v>
      </c>
      <c r="D83" s="170">
        <f>(D4-(D58/0.9))*D114*0.9/10^6</f>
        <v>0.18358826031</v>
      </c>
      <c r="E83" s="170">
        <f>(E4-(E58/0.9))*E114*0.9/10^6</f>
        <v>0.49807351825000001</v>
      </c>
      <c r="F83" s="170">
        <f>(F4-(F58/0.9))*F114*0.9/10^6</f>
        <v>0.64358821170000002</v>
      </c>
      <c r="G83" s="170">
        <f>(G4-(G58/0.9))*G114*0.9/10^6</f>
        <v>0.85074328079999995</v>
      </c>
      <c r="H83" s="170">
        <f>(H4-(H58/0.9))*H114*0.9/10^6</f>
        <v>1.2187648109</v>
      </c>
      <c r="I83" s="170">
        <f>(I4-(I58/0.9))*I114*0.9/10^6</f>
        <v>1.5367339176000001</v>
      </c>
      <c r="J83" s="170">
        <f>(J4-(J58/0.9))*J114*0.9/10^6</f>
        <v>2.0081306049000003</v>
      </c>
      <c r="K83" s="170">
        <f>(K4-(K58/0.9))*K114*0.9/10^6</f>
        <v>2.5319907627000009</v>
      </c>
      <c r="L83" s="170">
        <f>(L4-(L58/0.9))*L114*0.9/10^6</f>
        <v>2.8812308679000003</v>
      </c>
      <c r="M83" s="170">
        <f>(M4-(M58/0.9))*M114*0.9/10^6</f>
        <v>3.230470973100001</v>
      </c>
      <c r="N83" s="170">
        <f>(N4-(N58/0.9))*N114*0.9/10^6</f>
        <v>3.5797110783000008</v>
      </c>
      <c r="O83" s="170">
        <f>(O4-(O58/0.9))*O114*0.9/10^6</f>
        <v>3.9289511835000002</v>
      </c>
      <c r="P83"/>
      <c r="U83"/>
    </row>
    <row r="84" spans="1:21" x14ac:dyDescent="0.25">
      <c r="B84" s="34"/>
      <c r="C84" s="70" t="s">
        <v>9</v>
      </c>
      <c r="D84" s="24">
        <f>(D4-D59)*D115/10^6</f>
        <v>0</v>
      </c>
      <c r="E84" s="24">
        <f>(E4-E59)*E115/10^6</f>
        <v>0</v>
      </c>
      <c r="F84" s="24">
        <f>(F4-F59)*F115/10^6</f>
        <v>0.23224325445101746</v>
      </c>
      <c r="G84" s="24">
        <f>(G4-G59)*G115/10^6</f>
        <v>0.23652267681358052</v>
      </c>
      <c r="H84" s="24">
        <f>(H4-H59)*H115/10^6</f>
        <v>0.23432209765686302</v>
      </c>
      <c r="I84" s="24">
        <f>(I4-I59)*I115/10^6</f>
        <v>0.2288167177253124</v>
      </c>
      <c r="J84" s="24">
        <f>(J4-J59)*J115/10^6</f>
        <v>0.2257922975987407</v>
      </c>
      <c r="K84" s="24">
        <f>(K4-K59)*K115/10^6</f>
        <v>0.2257922975987407</v>
      </c>
      <c r="L84" s="24">
        <f>(L4-L59)*L115/10^6</f>
        <v>0.2257922975987407</v>
      </c>
      <c r="M84" s="24">
        <f>(M4-M59)*M115/10^6</f>
        <v>0.2257922975987407</v>
      </c>
      <c r="N84" s="24">
        <f>(N4-N59)*N115/10^6</f>
        <v>0.2257922975987407</v>
      </c>
      <c r="O84" s="24">
        <f>(O4-O59)*O115/10^6</f>
        <v>0.2257922975987407</v>
      </c>
      <c r="P84"/>
      <c r="U84"/>
    </row>
    <row r="85" spans="1:21" x14ac:dyDescent="0.25">
      <c r="B85" s="69"/>
      <c r="C85" s="70" t="s">
        <v>44</v>
      </c>
      <c r="D85" s="71">
        <f t="shared" ref="D85:O85" si="16">SUM(D80:D84)</f>
        <v>1.928795975237797</v>
      </c>
      <c r="E85" s="71">
        <f t="shared" si="16"/>
        <v>3.0531362476623847</v>
      </c>
      <c r="F85" s="71">
        <f t="shared" si="16"/>
        <v>4.4309958461743975</v>
      </c>
      <c r="G85" s="71">
        <f t="shared" si="16"/>
        <v>5.4300379869003281</v>
      </c>
      <c r="H85" s="71">
        <f t="shared" si="16"/>
        <v>6.0717120782367378</v>
      </c>
      <c r="I85" s="71">
        <f t="shared" si="16"/>
        <v>6.5424640292175003</v>
      </c>
      <c r="J85" s="71">
        <f t="shared" si="16"/>
        <v>7.1294198680032412</v>
      </c>
      <c r="K85" s="71">
        <f t="shared" si="16"/>
        <v>8.5076750215833084</v>
      </c>
      <c r="L85" s="71">
        <f t="shared" si="16"/>
        <v>9.2692656565285283</v>
      </c>
      <c r="M85" s="71">
        <f t="shared" si="16"/>
        <v>10.030856291473748</v>
      </c>
      <c r="N85" s="71">
        <f t="shared" si="16"/>
        <v>10.439573914485731</v>
      </c>
      <c r="O85" s="71">
        <f t="shared" si="16"/>
        <v>10.800796554288929</v>
      </c>
      <c r="P85"/>
      <c r="U85"/>
    </row>
    <row r="86" spans="1:21" x14ac:dyDescent="0.25">
      <c r="B86" s="69"/>
      <c r="C86" s="70" t="s">
        <v>46</v>
      </c>
      <c r="D86" s="73">
        <f>(D4-98.03)*D117/10^6</f>
        <v>-0.46207524620999746</v>
      </c>
      <c r="E86" s="73">
        <f>(E4-98.03)*E117/10^6</f>
        <v>-0.44787007205110646</v>
      </c>
      <c r="F86" s="73">
        <f>(F4-F61)*F117/10^6</f>
        <v>-1.8002644688932696</v>
      </c>
      <c r="G86" s="73">
        <f>(G4-G61)*G117/10^6</f>
        <v>-1.5718121026437746</v>
      </c>
      <c r="H86" s="73">
        <f>(H4-H61)*H117/10^6</f>
        <v>-2.232070440745709</v>
      </c>
      <c r="I86" s="73">
        <f>(I4-I61)*I117/10^6</f>
        <v>-3.3284075580716288</v>
      </c>
      <c r="J86" s="73">
        <f>(J4-J61)*J117/10^6</f>
        <v>-4.412835059038656</v>
      </c>
      <c r="K86" s="73">
        <f>(K4-K61)*K117/10^6</f>
        <v>-4.303255634003186</v>
      </c>
      <c r="L86" s="73">
        <f>(L4-L61)*L117/10^6</f>
        <v>-4.2674898390314961</v>
      </c>
      <c r="M86" s="73">
        <f>(M4-M61)*M117/10^6</f>
        <v>-4.2330023360352289</v>
      </c>
      <c r="N86" s="73">
        <f>(N4-N61)*N117/10^6</f>
        <v>-4.2595010702912504</v>
      </c>
      <c r="O86" s="73">
        <f>(O4-O61)*O117/10^6</f>
        <v>-4.293749462000422</v>
      </c>
      <c r="P86"/>
      <c r="U86"/>
    </row>
    <row r="87" spans="1:21" x14ac:dyDescent="0.25">
      <c r="B87" s="34"/>
      <c r="C87" s="70" t="s">
        <v>42</v>
      </c>
      <c r="D87" s="90">
        <f t="shared" ref="D87:O87" si="17">D76+D77+D85+D86+D88</f>
        <v>1.7619629790814308</v>
      </c>
      <c r="E87" s="90">
        <f t="shared" si="17"/>
        <v>3.3951449994942222</v>
      </c>
      <c r="F87" s="90">
        <f t="shared" si="17"/>
        <v>2.246864586719981</v>
      </c>
      <c r="G87" s="90">
        <f t="shared" si="17"/>
        <v>1.9634024401477821</v>
      </c>
      <c r="H87" s="90">
        <f t="shared" si="17"/>
        <v>0.66824876691646851</v>
      </c>
      <c r="I87" s="90">
        <f t="shared" si="17"/>
        <v>-2.8997185044879799</v>
      </c>
      <c r="J87" s="90">
        <f t="shared" si="17"/>
        <v>-6.0892750276661083</v>
      </c>
      <c r="K87" s="90">
        <f t="shared" si="17"/>
        <v>-2.7868773801350226</v>
      </c>
      <c r="L87" s="90">
        <f t="shared" si="17"/>
        <v>-0.35483187929717053</v>
      </c>
      <c r="M87" s="90">
        <f t="shared" si="17"/>
        <v>2.0632015795908818</v>
      </c>
      <c r="N87" s="90">
        <f t="shared" si="17"/>
        <v>4.128716941787463</v>
      </c>
      <c r="O87" s="90">
        <f t="shared" si="17"/>
        <v>6.1309638832056041</v>
      </c>
      <c r="P87"/>
    </row>
    <row r="88" spans="1:21" x14ac:dyDescent="0.25">
      <c r="B88" s="34"/>
      <c r="C88" s="70" t="s">
        <v>68</v>
      </c>
      <c r="D88" s="90">
        <v>0</v>
      </c>
      <c r="E88" s="90">
        <v>0</v>
      </c>
      <c r="F88" s="170">
        <v>0.15</v>
      </c>
      <c r="G88" s="170">
        <v>0.6</v>
      </c>
      <c r="H88" s="170">
        <v>0.82499999999999996</v>
      </c>
      <c r="I88" s="170">
        <v>1.0499999999999998</v>
      </c>
      <c r="J88" s="170">
        <v>1.2750000000000001</v>
      </c>
      <c r="K88" s="170">
        <v>1.4999999999999998</v>
      </c>
      <c r="L88" s="170">
        <v>1.7250000000000001</v>
      </c>
      <c r="M88" s="170">
        <v>1.9499999999999997</v>
      </c>
      <c r="N88" s="170">
        <v>2.1750000000000003</v>
      </c>
      <c r="O88" s="170">
        <v>2.4000000000000004</v>
      </c>
      <c r="P88"/>
      <c r="U88"/>
    </row>
    <row r="89" spans="1:21" x14ac:dyDescent="0.25">
      <c r="B89" s="34"/>
      <c r="C89" s="70" t="s">
        <v>51</v>
      </c>
      <c r="D89" s="90">
        <f t="shared" ref="D89:O89" si="18">D85+D76+D88</f>
        <v>4.1150177509498542</v>
      </c>
      <c r="E89" s="90">
        <f t="shared" si="18"/>
        <v>5.7069914534861734</v>
      </c>
      <c r="F89" s="90">
        <f t="shared" si="18"/>
        <v>9.0004781446156965</v>
      </c>
      <c r="G89" s="90">
        <f t="shared" si="18"/>
        <v>10.646716684575003</v>
      </c>
      <c r="H89" s="90">
        <f t="shared" si="18"/>
        <v>12.094797527710716</v>
      </c>
      <c r="I89" s="90">
        <f t="shared" si="18"/>
        <v>13.084801673636726</v>
      </c>
      <c r="J89" s="90">
        <f t="shared" si="18"/>
        <v>14.2937119254702</v>
      </c>
      <c r="K89" s="90">
        <f t="shared" si="18"/>
        <v>17.080485045513029</v>
      </c>
      <c r="L89" s="90">
        <f t="shared" si="18"/>
        <v>19.078056685940044</v>
      </c>
      <c r="M89" s="90">
        <f t="shared" si="18"/>
        <v>21.079544726087111</v>
      </c>
      <c r="N89" s="90">
        <f t="shared" si="18"/>
        <v>22.783058183604375</v>
      </c>
      <c r="O89" s="90">
        <f t="shared" si="18"/>
        <v>24.438762341270191</v>
      </c>
      <c r="P89"/>
      <c r="Q89"/>
      <c r="R89"/>
      <c r="U89"/>
    </row>
    <row r="90" spans="1:21" s="120" customFormat="1" x14ac:dyDescent="0.25">
      <c r="A90"/>
      <c r="B90" s="34"/>
      <c r="C90" s="70" t="s">
        <v>52</v>
      </c>
      <c r="D90" s="90">
        <f t="shared" ref="D90:O90" si="19">D77+D86</f>
        <v>-2.3530547718684227</v>
      </c>
      <c r="E90" s="90">
        <f t="shared" si="19"/>
        <v>-2.3118464539919508</v>
      </c>
      <c r="F90" s="90">
        <f t="shared" si="19"/>
        <v>-6.753613557895715</v>
      </c>
      <c r="G90" s="90">
        <f t="shared" si="19"/>
        <v>-8.6833142444272191</v>
      </c>
      <c r="H90" s="90">
        <f t="shared" si="19"/>
        <v>-11.426548760794248</v>
      </c>
      <c r="I90" s="90">
        <f t="shared" si="19"/>
        <v>-15.984520178124706</v>
      </c>
      <c r="J90" s="90">
        <f t="shared" si="19"/>
        <v>-20.38298695313631</v>
      </c>
      <c r="K90" s="90">
        <f t="shared" si="19"/>
        <v>-19.867362425648054</v>
      </c>
      <c r="L90" s="90">
        <f t="shared" si="19"/>
        <v>-19.432888565237214</v>
      </c>
      <c r="M90" s="90">
        <f t="shared" si="19"/>
        <v>-19.016343146496233</v>
      </c>
      <c r="N90" s="90">
        <f t="shared" si="19"/>
        <v>-18.654341241816912</v>
      </c>
      <c r="O90" s="90">
        <f t="shared" si="19"/>
        <v>-18.307798458064589</v>
      </c>
      <c r="P90"/>
      <c r="Q90"/>
      <c r="R90"/>
    </row>
    <row r="91" spans="1:21" s="120" customFormat="1" x14ac:dyDescent="0.25">
      <c r="B91" s="69"/>
      <c r="C91" s="70"/>
      <c r="D91" s="119">
        <f>3+D87</f>
        <v>4.7619629790814306</v>
      </c>
      <c r="E91" s="119">
        <f t="shared" ref="E91:O91" si="20">D91+E87</f>
        <v>8.1571079785756524</v>
      </c>
      <c r="F91" s="119">
        <f t="shared" si="20"/>
        <v>10.403972565295634</v>
      </c>
      <c r="G91" s="119">
        <f t="shared" si="20"/>
        <v>12.367375005443416</v>
      </c>
      <c r="H91" s="119">
        <f t="shared" si="20"/>
        <v>13.035623772359884</v>
      </c>
      <c r="I91" s="119">
        <f t="shared" si="20"/>
        <v>10.135905267871903</v>
      </c>
      <c r="J91" s="119">
        <f t="shared" si="20"/>
        <v>4.0466302402057952</v>
      </c>
      <c r="K91" s="119">
        <f t="shared" si="20"/>
        <v>1.2597528600707726</v>
      </c>
      <c r="L91" s="119">
        <f t="shared" si="20"/>
        <v>0.90492098077360206</v>
      </c>
      <c r="M91" s="119">
        <f t="shared" si="20"/>
        <v>2.9681225603644839</v>
      </c>
      <c r="N91" s="119">
        <f t="shared" si="20"/>
        <v>7.0968395021519468</v>
      </c>
      <c r="O91" s="119">
        <f t="shared" si="20"/>
        <v>13.22780338535755</v>
      </c>
      <c r="P91"/>
      <c r="Q91"/>
    </row>
    <row r="92" spans="1:21" s="120" customFormat="1" x14ac:dyDescent="0.25">
      <c r="A92" s="34"/>
      <c r="B92" s="70"/>
      <c r="C92" s="33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21" s="120" customFormat="1" x14ac:dyDescent="0.25">
      <c r="A93" s="34"/>
      <c r="B93" s="70"/>
      <c r="C93" s="33"/>
      <c r="D93"/>
      <c r="E93"/>
      <c r="F93"/>
      <c r="G93"/>
      <c r="H93"/>
      <c r="I93"/>
      <c r="J93"/>
      <c r="K93"/>
      <c r="L93"/>
      <c r="M93"/>
      <c r="N93"/>
      <c r="O93"/>
      <c r="P93" s="148"/>
      <c r="Q93" s="45"/>
    </row>
    <row r="94" spans="1:21" s="120" customFormat="1" x14ac:dyDescent="0.25">
      <c r="A94"/>
      <c r="B94" s="34"/>
      <c r="C94" s="34"/>
      <c r="D94" s="148" t="s">
        <v>36</v>
      </c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45"/>
      <c r="Q94" s="45"/>
    </row>
    <row r="95" spans="1:21" ht="30" x14ac:dyDescent="0.25">
      <c r="A95" s="148" t="s">
        <v>30</v>
      </c>
      <c r="B95" s="148" t="s">
        <v>25</v>
      </c>
      <c r="C95" s="11" t="s">
        <v>31</v>
      </c>
      <c r="D95" s="6">
        <v>2014</v>
      </c>
      <c r="E95" s="6">
        <v>2015</v>
      </c>
      <c r="F95" s="6">
        <v>2016</v>
      </c>
      <c r="G95" s="6">
        <v>2017</v>
      </c>
      <c r="H95" s="6">
        <v>2018</v>
      </c>
      <c r="I95" s="6">
        <v>2019</v>
      </c>
      <c r="J95" s="6">
        <v>2020</v>
      </c>
      <c r="K95" s="58">
        <v>2021</v>
      </c>
      <c r="L95" s="58">
        <v>2022</v>
      </c>
      <c r="M95" s="58">
        <v>2023</v>
      </c>
      <c r="N95" s="58">
        <v>2024</v>
      </c>
      <c r="O95" s="58">
        <v>2025</v>
      </c>
      <c r="T95"/>
      <c r="U95"/>
    </row>
    <row r="96" spans="1:21" x14ac:dyDescent="0.25">
      <c r="A96" s="2" t="s">
        <v>4</v>
      </c>
      <c r="B96" s="2" t="s">
        <v>38</v>
      </c>
      <c r="C96" s="20">
        <v>81.510000000000005</v>
      </c>
      <c r="D96" s="15">
        <f t="shared" ref="D96:O96" si="21">$C$96*D14</f>
        <v>100664.85</v>
      </c>
      <c r="E96" s="15">
        <f t="shared" si="21"/>
        <v>97812</v>
      </c>
      <c r="F96" s="15">
        <f t="shared" si="21"/>
        <v>89661</v>
      </c>
      <c r="G96" s="15">
        <f t="shared" si="21"/>
        <v>81510</v>
      </c>
      <c r="H96" s="15">
        <f t="shared" si="21"/>
        <v>67245.75</v>
      </c>
      <c r="I96" s="15">
        <f t="shared" si="21"/>
        <v>61132.500000000007</v>
      </c>
      <c r="J96" s="15">
        <f t="shared" si="21"/>
        <v>57057</v>
      </c>
      <c r="K96" s="15">
        <f t="shared" si="21"/>
        <v>48906</v>
      </c>
      <c r="L96" s="15">
        <f t="shared" si="21"/>
        <v>44830.5</v>
      </c>
      <c r="M96" s="15">
        <f t="shared" si="21"/>
        <v>38717.25</v>
      </c>
      <c r="N96" s="15">
        <f t="shared" si="21"/>
        <v>32604.000000000004</v>
      </c>
      <c r="O96" s="15">
        <f t="shared" si="21"/>
        <v>26083.200000000001</v>
      </c>
      <c r="T96"/>
      <c r="U96"/>
    </row>
    <row r="97" spans="1:21" x14ac:dyDescent="0.25">
      <c r="A97" s="2" t="s">
        <v>5</v>
      </c>
      <c r="B97" s="2" t="s">
        <v>38</v>
      </c>
      <c r="C97" s="20">
        <v>81.510000000000005</v>
      </c>
      <c r="D97" s="15">
        <f t="shared" ref="D97:O97" si="22">D15*$C$97</f>
        <v>200.5146</v>
      </c>
      <c r="E97" s="15">
        <f t="shared" si="22"/>
        <v>12226.5</v>
      </c>
      <c r="F97" s="15">
        <f t="shared" si="22"/>
        <v>16302.000000000002</v>
      </c>
      <c r="G97" s="15">
        <f t="shared" si="22"/>
        <v>20377.5</v>
      </c>
      <c r="H97" s="15">
        <f t="shared" si="22"/>
        <v>28528.5</v>
      </c>
      <c r="I97" s="15">
        <f t="shared" si="22"/>
        <v>32604.000000000004</v>
      </c>
      <c r="J97" s="15">
        <f t="shared" si="22"/>
        <v>36679.5</v>
      </c>
      <c r="K97" s="15">
        <f t="shared" si="22"/>
        <v>40755</v>
      </c>
      <c r="L97" s="15">
        <f t="shared" si="22"/>
        <v>40755</v>
      </c>
      <c r="M97" s="15">
        <f t="shared" si="22"/>
        <v>40755</v>
      </c>
      <c r="N97" s="15">
        <f t="shared" si="22"/>
        <v>40755</v>
      </c>
      <c r="O97" s="15">
        <f t="shared" si="22"/>
        <v>40755</v>
      </c>
      <c r="T97"/>
      <c r="U97"/>
    </row>
    <row r="98" spans="1:21" x14ac:dyDescent="0.25">
      <c r="A98" s="26" t="s">
        <v>41</v>
      </c>
      <c r="B98" s="2" t="s">
        <v>38</v>
      </c>
      <c r="C98" s="20">
        <v>81.510000000000005</v>
      </c>
      <c r="D98" s="15">
        <f t="shared" ref="D98:O98" si="23">D16*$C$98</f>
        <v>10922.34</v>
      </c>
      <c r="E98" s="15">
        <f t="shared" si="23"/>
        <v>8151.0000000000009</v>
      </c>
      <c r="F98" s="15">
        <f t="shared" si="23"/>
        <v>8151.0000000000009</v>
      </c>
      <c r="G98" s="15">
        <f t="shared" si="23"/>
        <v>8151.0000000000009</v>
      </c>
      <c r="H98" s="15">
        <f t="shared" si="23"/>
        <v>8151.0000000000009</v>
      </c>
      <c r="I98" s="15">
        <f t="shared" si="23"/>
        <v>8151.0000000000009</v>
      </c>
      <c r="J98" s="15">
        <f t="shared" si="23"/>
        <v>8151.0000000000009</v>
      </c>
      <c r="K98" s="15">
        <f t="shared" si="23"/>
        <v>8151.0000000000009</v>
      </c>
      <c r="L98" s="15">
        <f t="shared" si="23"/>
        <v>8151.0000000000009</v>
      </c>
      <c r="M98" s="15">
        <f t="shared" si="23"/>
        <v>8151.0000000000009</v>
      </c>
      <c r="N98" s="15">
        <f t="shared" si="23"/>
        <v>8151.0000000000009</v>
      </c>
      <c r="O98" s="15">
        <f t="shared" si="23"/>
        <v>8151.0000000000009</v>
      </c>
      <c r="T98"/>
      <c r="U98"/>
    </row>
    <row r="99" spans="1:21" x14ac:dyDescent="0.25">
      <c r="A99" s="89" t="s">
        <v>64</v>
      </c>
      <c r="B99" s="2" t="s">
        <v>38</v>
      </c>
      <c r="C99" s="20">
        <v>81.510000000000005</v>
      </c>
      <c r="D99" s="15">
        <f t="shared" ref="D99:O99" si="24">$C$99*D17</f>
        <v>0</v>
      </c>
      <c r="E99" s="15">
        <f t="shared" si="24"/>
        <v>0</v>
      </c>
      <c r="F99" s="15">
        <f t="shared" si="24"/>
        <v>0</v>
      </c>
      <c r="G99" s="15">
        <f t="shared" si="24"/>
        <v>0</v>
      </c>
      <c r="H99" s="15">
        <f t="shared" si="24"/>
        <v>0</v>
      </c>
      <c r="I99" s="15">
        <f t="shared" si="24"/>
        <v>0</v>
      </c>
      <c r="J99" s="15">
        <f t="shared" si="24"/>
        <v>0</v>
      </c>
      <c r="K99" s="15">
        <f t="shared" si="24"/>
        <v>0</v>
      </c>
      <c r="L99" s="15">
        <f t="shared" si="24"/>
        <v>0</v>
      </c>
      <c r="M99" s="15">
        <f t="shared" si="24"/>
        <v>0</v>
      </c>
      <c r="N99" s="15">
        <f t="shared" si="24"/>
        <v>0</v>
      </c>
      <c r="O99" s="15">
        <f t="shared" si="24"/>
        <v>0</v>
      </c>
      <c r="T99"/>
      <c r="U99"/>
    </row>
    <row r="100" spans="1:21" x14ac:dyDescent="0.25">
      <c r="A100" s="77" t="s">
        <v>67</v>
      </c>
      <c r="B100" s="2" t="s">
        <v>38</v>
      </c>
      <c r="C100" s="20">
        <v>81.510000000000005</v>
      </c>
      <c r="D100" s="15">
        <f t="shared" ref="D100:O100" si="25">$C$100*D18</f>
        <v>3969.5370000000003</v>
      </c>
      <c r="E100" s="15">
        <f t="shared" si="25"/>
        <v>4075.5000000000005</v>
      </c>
      <c r="F100" s="15">
        <f t="shared" si="25"/>
        <v>4075.5000000000005</v>
      </c>
      <c r="G100" s="15">
        <f t="shared" si="25"/>
        <v>6113.25</v>
      </c>
      <c r="H100" s="15">
        <f t="shared" si="25"/>
        <v>6113.25</v>
      </c>
      <c r="I100" s="15">
        <f t="shared" si="25"/>
        <v>6113.25</v>
      </c>
      <c r="J100" s="15">
        <f t="shared" si="25"/>
        <v>6113.25</v>
      </c>
      <c r="K100" s="15">
        <f t="shared" si="25"/>
        <v>6113.25</v>
      </c>
      <c r="L100" s="15">
        <f t="shared" si="25"/>
        <v>6113.25</v>
      </c>
      <c r="M100" s="15">
        <f t="shared" si="25"/>
        <v>6113.25</v>
      </c>
      <c r="N100" s="15">
        <f t="shared" si="25"/>
        <v>6113.25</v>
      </c>
      <c r="O100" s="15">
        <f t="shared" si="25"/>
        <v>6113.25</v>
      </c>
      <c r="T100"/>
      <c r="U100"/>
    </row>
    <row r="101" spans="1:21" x14ac:dyDescent="0.25">
      <c r="A101" s="2" t="s">
        <v>27</v>
      </c>
      <c r="B101" s="2" t="s">
        <v>38</v>
      </c>
      <c r="C101" s="20">
        <v>81.510000000000005</v>
      </c>
      <c r="D101" s="15">
        <f t="shared" ref="D101:O101" si="26">$C$101*D19</f>
        <v>0</v>
      </c>
      <c r="E101" s="15">
        <f t="shared" si="26"/>
        <v>0</v>
      </c>
      <c r="F101" s="15">
        <f t="shared" si="26"/>
        <v>407.55</v>
      </c>
      <c r="G101" s="15">
        <f t="shared" si="26"/>
        <v>1222.6500000000001</v>
      </c>
      <c r="H101" s="15">
        <f t="shared" si="26"/>
        <v>4075.5000000000005</v>
      </c>
      <c r="I101" s="15">
        <f t="shared" si="26"/>
        <v>6113.25</v>
      </c>
      <c r="J101" s="15">
        <f t="shared" si="26"/>
        <v>8151.0000000000009</v>
      </c>
      <c r="K101" s="15">
        <f t="shared" si="26"/>
        <v>16302.000000000002</v>
      </c>
      <c r="L101" s="15">
        <f t="shared" si="26"/>
        <v>20377.5</v>
      </c>
      <c r="M101" s="15">
        <f t="shared" si="26"/>
        <v>24453</v>
      </c>
      <c r="N101" s="15">
        <f t="shared" si="26"/>
        <v>28528.5</v>
      </c>
      <c r="O101" s="15">
        <f t="shared" si="26"/>
        <v>32604.000000000004</v>
      </c>
      <c r="T101"/>
      <c r="U101"/>
    </row>
    <row r="102" spans="1:21" x14ac:dyDescent="0.25">
      <c r="A102" s="2" t="s">
        <v>6</v>
      </c>
      <c r="B102" s="2" t="s">
        <v>38</v>
      </c>
      <c r="C102" s="20">
        <v>81.510000000000005</v>
      </c>
      <c r="D102" s="15">
        <f t="shared" ref="D102:O102" si="27">$C$102*D20</f>
        <v>456.45600000000002</v>
      </c>
      <c r="E102" s="15">
        <f t="shared" si="27"/>
        <v>1630.2</v>
      </c>
      <c r="F102" s="15">
        <f t="shared" si="27"/>
        <v>3260.4</v>
      </c>
      <c r="G102" s="15">
        <f t="shared" si="27"/>
        <v>3260.4</v>
      </c>
      <c r="H102" s="15">
        <f t="shared" si="27"/>
        <v>4890.6000000000004</v>
      </c>
      <c r="I102" s="15">
        <f t="shared" si="27"/>
        <v>4890.6000000000004</v>
      </c>
      <c r="J102" s="15">
        <f t="shared" si="27"/>
        <v>4890.6000000000004</v>
      </c>
      <c r="K102" s="15">
        <f t="shared" si="27"/>
        <v>4890.6000000000004</v>
      </c>
      <c r="L102" s="15">
        <f t="shared" si="27"/>
        <v>4890.6000000000004</v>
      </c>
      <c r="M102" s="15">
        <f t="shared" si="27"/>
        <v>4890.6000000000004</v>
      </c>
      <c r="N102" s="15">
        <f t="shared" si="27"/>
        <v>4890.6000000000004</v>
      </c>
      <c r="O102" s="15">
        <f t="shared" si="27"/>
        <v>4890.6000000000004</v>
      </c>
      <c r="T102"/>
      <c r="U102"/>
    </row>
    <row r="103" spans="1:21" x14ac:dyDescent="0.25">
      <c r="A103" s="7" t="s">
        <v>26</v>
      </c>
      <c r="B103" s="2" t="s">
        <v>38</v>
      </c>
      <c r="C103" s="20">
        <v>119.53</v>
      </c>
      <c r="D103" s="16">
        <f t="shared" ref="D103:O103" si="28">$C$103*D21</f>
        <v>0</v>
      </c>
      <c r="E103" s="16">
        <f t="shared" si="28"/>
        <v>0</v>
      </c>
      <c r="F103" s="16">
        <f t="shared" si="28"/>
        <v>0</v>
      </c>
      <c r="G103" s="16">
        <f t="shared" si="28"/>
        <v>0</v>
      </c>
      <c r="H103" s="16">
        <f t="shared" si="28"/>
        <v>597.65</v>
      </c>
      <c r="I103" s="16">
        <f t="shared" si="28"/>
        <v>1792.95</v>
      </c>
      <c r="J103" s="16">
        <f t="shared" si="28"/>
        <v>2988.25</v>
      </c>
      <c r="K103" s="16">
        <f t="shared" si="28"/>
        <v>5976.5</v>
      </c>
      <c r="L103" s="16">
        <f t="shared" si="28"/>
        <v>11953</v>
      </c>
      <c r="M103" s="16">
        <f t="shared" si="28"/>
        <v>17929.5</v>
      </c>
      <c r="N103" s="16">
        <f t="shared" si="28"/>
        <v>23906</v>
      </c>
      <c r="O103" s="16">
        <f t="shared" si="28"/>
        <v>29882.5</v>
      </c>
      <c r="T103"/>
      <c r="U103"/>
    </row>
    <row r="104" spans="1:21" x14ac:dyDescent="0.25">
      <c r="A104" s="142" t="s">
        <v>83</v>
      </c>
      <c r="B104" s="2" t="s">
        <v>90</v>
      </c>
      <c r="C104" s="20">
        <v>115.83</v>
      </c>
      <c r="D104" s="171">
        <f t="shared" ref="D104:O104" si="29">D22*$C$104</f>
        <v>1969.11</v>
      </c>
      <c r="E104" s="171">
        <f t="shared" si="29"/>
        <v>1969.11</v>
      </c>
      <c r="F104" s="171">
        <f t="shared" si="29"/>
        <v>1969.11</v>
      </c>
      <c r="G104" s="171">
        <f t="shared" si="29"/>
        <v>1969.11</v>
      </c>
      <c r="H104" s="171">
        <f t="shared" si="29"/>
        <v>1969.11</v>
      </c>
      <c r="I104" s="171">
        <f t="shared" si="29"/>
        <v>1969.11</v>
      </c>
      <c r="J104" s="171">
        <f t="shared" si="29"/>
        <v>1969.11</v>
      </c>
      <c r="K104" s="171">
        <f t="shared" si="29"/>
        <v>1969.11</v>
      </c>
      <c r="L104" s="171">
        <f t="shared" si="29"/>
        <v>1969.11</v>
      </c>
      <c r="M104" s="171">
        <f t="shared" si="29"/>
        <v>1969.11</v>
      </c>
      <c r="N104" s="171">
        <f t="shared" si="29"/>
        <v>1969.11</v>
      </c>
      <c r="O104" s="171">
        <f t="shared" si="29"/>
        <v>1969.11</v>
      </c>
      <c r="T104"/>
      <c r="U104"/>
    </row>
    <row r="105" spans="1:21" s="120" customFormat="1" x14ac:dyDescent="0.25">
      <c r="A105" s="7" t="s">
        <v>12</v>
      </c>
      <c r="B105" s="7" t="s">
        <v>38</v>
      </c>
      <c r="C105" s="47">
        <v>119.83</v>
      </c>
      <c r="D105" s="16">
        <f t="shared" ref="D105:O105" si="30">$C$105*D23</f>
        <v>4.0851136363636362</v>
      </c>
      <c r="E105" s="16">
        <f t="shared" si="30"/>
        <v>43.574545454545451</v>
      </c>
      <c r="F105" s="16">
        <f t="shared" si="30"/>
        <v>87.149090909090901</v>
      </c>
      <c r="G105" s="16">
        <f t="shared" si="30"/>
        <v>217.87272727272727</v>
      </c>
      <c r="H105" s="16">
        <f t="shared" si="30"/>
        <v>435.74545454545455</v>
      </c>
      <c r="I105" s="16">
        <f t="shared" si="30"/>
        <v>653.61818181818171</v>
      </c>
      <c r="J105" s="16">
        <f t="shared" si="30"/>
        <v>871.4909090909091</v>
      </c>
      <c r="K105" s="16">
        <f t="shared" si="30"/>
        <v>1198.3</v>
      </c>
      <c r="L105" s="16">
        <f t="shared" si="30"/>
        <v>1525.1090909090908</v>
      </c>
      <c r="M105" s="16">
        <f t="shared" si="30"/>
        <v>1960.8545454545454</v>
      </c>
      <c r="N105" s="16">
        <f t="shared" si="30"/>
        <v>2505.5363636363636</v>
      </c>
      <c r="O105" s="16">
        <f t="shared" si="30"/>
        <v>3268.0909090909086</v>
      </c>
      <c r="P105" s="45"/>
      <c r="Q105" s="45"/>
    </row>
    <row r="106" spans="1:21" ht="15" customHeight="1" x14ac:dyDescent="0.25">
      <c r="A106" s="7" t="s">
        <v>88</v>
      </c>
      <c r="B106" s="7" t="s">
        <v>39</v>
      </c>
      <c r="C106" s="172">
        <v>3600.0008440447891</v>
      </c>
      <c r="D106" s="16">
        <f t="shared" ref="D106:O106" si="31">D24*$C$106*1000/1000000</f>
        <v>1060.0822157566317</v>
      </c>
      <c r="E106" s="16">
        <f t="shared" si="31"/>
        <v>1582.3409001255136</v>
      </c>
      <c r="F106" s="16">
        <f t="shared" si="31"/>
        <v>2144.0525965840679</v>
      </c>
      <c r="G106" s="16">
        <f t="shared" si="31"/>
        <v>2732.2914635902193</v>
      </c>
      <c r="H106" s="16">
        <f t="shared" si="31"/>
        <v>3534.3920130133142</v>
      </c>
      <c r="I106" s="16">
        <f t="shared" si="31"/>
        <v>4593.2406783336264</v>
      </c>
      <c r="J106" s="16">
        <f t="shared" si="31"/>
        <v>5863.612140967959</v>
      </c>
      <c r="K106" s="16">
        <f t="shared" si="31"/>
        <v>7430.7248947693288</v>
      </c>
      <c r="L106" s="16">
        <f t="shared" si="31"/>
        <v>9227.1364742707938</v>
      </c>
      <c r="M106" s="16">
        <f t="shared" si="31"/>
        <v>11256.966035834977</v>
      </c>
      <c r="N106" s="16">
        <f t="shared" si="31"/>
        <v>13524.028592034316</v>
      </c>
      <c r="O106" s="16">
        <f t="shared" si="31"/>
        <v>15745.560805143792</v>
      </c>
      <c r="T106"/>
      <c r="U106"/>
    </row>
    <row r="107" spans="1:21" x14ac:dyDescent="0.25">
      <c r="A107" s="2" t="s">
        <v>48</v>
      </c>
      <c r="B107" s="2" t="s">
        <v>38</v>
      </c>
      <c r="C107" s="20">
        <v>119.53</v>
      </c>
      <c r="D107" s="15">
        <f t="shared" ref="D107:O107" si="32">D108-(SUM(D96:D105)+D106*3.4)</f>
        <v>1549983.217752791</v>
      </c>
      <c r="E107" s="15">
        <f t="shared" si="32"/>
        <v>1527849.4933941185</v>
      </c>
      <c r="F107" s="15">
        <f t="shared" si="32"/>
        <v>1511346.9930807052</v>
      </c>
      <c r="G107" s="15">
        <f t="shared" si="32"/>
        <v>1494013.0549965205</v>
      </c>
      <c r="H107" s="15">
        <f t="shared" si="32"/>
        <v>1475839.2167012091</v>
      </c>
      <c r="I107" s="15">
        <f t="shared" si="32"/>
        <v>1454725.5885118474</v>
      </c>
      <c r="J107" s="15">
        <f t="shared" si="32"/>
        <v>1431017.194811618</v>
      </c>
      <c r="K107" s="15">
        <f t="shared" si="32"/>
        <v>1394633.2250577842</v>
      </c>
      <c r="L107" s="15">
        <f t="shared" si="32"/>
        <v>1358906.6958965701</v>
      </c>
      <c r="M107" s="15">
        <f t="shared" si="32"/>
        <v>1324672.1156327066</v>
      </c>
      <c r="N107" s="15">
        <f t="shared" si="32"/>
        <v>1289860.2304234467</v>
      </c>
      <c r="O107" s="15">
        <f t="shared" si="32"/>
        <v>1255739.1573534203</v>
      </c>
      <c r="T107"/>
      <c r="U107"/>
    </row>
    <row r="108" spans="1:21" x14ac:dyDescent="0.25">
      <c r="A108" s="2" t="s">
        <v>34</v>
      </c>
      <c r="B108" s="2" t="s">
        <v>38</v>
      </c>
      <c r="C108" s="20">
        <v>115.83</v>
      </c>
      <c r="D108" s="15">
        <f>D6*$C$108</f>
        <v>1671774.39</v>
      </c>
      <c r="E108" s="15">
        <f>E6*$C$108</f>
        <v>1659137.3369999998</v>
      </c>
      <c r="F108" s="15">
        <f>F6*$C$108</f>
        <v>1642550.4810000001</v>
      </c>
      <c r="G108" s="15">
        <f>G6*$C$108</f>
        <v>1626124.6287</v>
      </c>
      <c r="H108" s="15">
        <f>H6*$C$108</f>
        <v>1609863.2549999999</v>
      </c>
      <c r="I108" s="15">
        <f>I6*$C$108</f>
        <v>1593762.885</v>
      </c>
      <c r="J108" s="15">
        <f>J6*$C$108</f>
        <v>1577824.6769999999</v>
      </c>
      <c r="K108" s="15">
        <f>K6*$C$108</f>
        <v>1554159.4497</v>
      </c>
      <c r="L108" s="15">
        <f>L6*$C$108</f>
        <v>1530844.0289999999</v>
      </c>
      <c r="M108" s="15">
        <f>M6*$C$108</f>
        <v>1507885.3647</v>
      </c>
      <c r="N108" s="15">
        <f>N6*$C$108</f>
        <v>1485264.9239999999</v>
      </c>
      <c r="O108" s="15">
        <f>O6*$C$108</f>
        <v>1462990.8149999999</v>
      </c>
      <c r="T108"/>
      <c r="U108"/>
    </row>
    <row r="109" spans="1:21" x14ac:dyDescent="0.25">
      <c r="A109" s="18"/>
      <c r="B109" s="18"/>
      <c r="C109" s="21"/>
      <c r="D109" s="19"/>
      <c r="E109" s="19"/>
      <c r="F109" s="19"/>
      <c r="G109" s="19"/>
      <c r="H109" s="19"/>
      <c r="I109" s="19"/>
      <c r="J109" s="19"/>
      <c r="K109" s="45"/>
      <c r="Q109"/>
      <c r="T109"/>
      <c r="U109"/>
    </row>
    <row r="110" spans="1:21" x14ac:dyDescent="0.25">
      <c r="A110" s="14"/>
      <c r="B110" s="14"/>
      <c r="C110" s="22"/>
      <c r="D110" s="1"/>
      <c r="E110" s="1"/>
      <c r="F110" s="1"/>
      <c r="G110" s="1"/>
      <c r="H110" s="1"/>
      <c r="I110" s="1"/>
      <c r="J110" s="1"/>
      <c r="K110" s="45"/>
      <c r="Q110"/>
      <c r="T110"/>
      <c r="U110"/>
    </row>
    <row r="111" spans="1:21" x14ac:dyDescent="0.25">
      <c r="A111" s="2" t="s">
        <v>78</v>
      </c>
      <c r="B111" s="2" t="s">
        <v>38</v>
      </c>
      <c r="C111" s="20">
        <v>126.13194319156545</v>
      </c>
      <c r="D111" s="15">
        <f t="shared" ref="D111:O111" si="33">D31*$C$111</f>
        <v>8160.7367244942852</v>
      </c>
      <c r="E111" s="15">
        <f t="shared" si="33"/>
        <v>12234.79848958185</v>
      </c>
      <c r="F111" s="15">
        <f t="shared" si="33"/>
        <v>16271.020671711944</v>
      </c>
      <c r="G111" s="15">
        <f t="shared" si="33"/>
        <v>20181.110910650474</v>
      </c>
      <c r="H111" s="15">
        <f t="shared" si="33"/>
        <v>22703.749774481781</v>
      </c>
      <c r="I111" s="15">
        <f t="shared" si="33"/>
        <v>22703.749774481781</v>
      </c>
      <c r="J111" s="15">
        <f t="shared" si="33"/>
        <v>22703.749774481781</v>
      </c>
      <c r="K111" s="15">
        <f t="shared" si="33"/>
        <v>23334.409490439608</v>
      </c>
      <c r="L111" s="15">
        <f t="shared" si="33"/>
        <v>23334.409490439608</v>
      </c>
      <c r="M111" s="15">
        <f t="shared" si="33"/>
        <v>23334.409490439608</v>
      </c>
      <c r="N111" s="15">
        <f t="shared" si="33"/>
        <v>23965.069206397435</v>
      </c>
      <c r="O111" s="15">
        <f t="shared" si="33"/>
        <v>23965.069206397435</v>
      </c>
      <c r="Q111"/>
      <c r="T111"/>
      <c r="U111"/>
    </row>
    <row r="112" spans="1:21" x14ac:dyDescent="0.25">
      <c r="A112" s="2" t="s">
        <v>8</v>
      </c>
      <c r="B112" s="2" t="s">
        <v>38</v>
      </c>
      <c r="C112" s="20">
        <v>129.65</v>
      </c>
      <c r="D112" s="15">
        <f t="shared" ref="D112:O112" si="34">$C$112*D32</f>
        <v>14780.1</v>
      </c>
      <c r="E112" s="15">
        <f t="shared" si="34"/>
        <v>23337</v>
      </c>
      <c r="F112" s="15">
        <f t="shared" si="34"/>
        <v>32412.5</v>
      </c>
      <c r="G112" s="15">
        <f t="shared" si="34"/>
        <v>38895</v>
      </c>
      <c r="H112" s="15">
        <f t="shared" si="34"/>
        <v>41488</v>
      </c>
      <c r="I112" s="15">
        <f t="shared" si="34"/>
        <v>46674</v>
      </c>
      <c r="J112" s="15">
        <f t="shared" si="34"/>
        <v>51860</v>
      </c>
      <c r="K112" s="15">
        <f t="shared" si="34"/>
        <v>64825</v>
      </c>
      <c r="L112" s="15">
        <f t="shared" si="34"/>
        <v>71307.5</v>
      </c>
      <c r="M112" s="15">
        <f t="shared" si="34"/>
        <v>77790</v>
      </c>
      <c r="N112" s="15">
        <f t="shared" si="34"/>
        <v>77790</v>
      </c>
      <c r="O112" s="15">
        <f t="shared" si="34"/>
        <v>77790</v>
      </c>
      <c r="Q112"/>
      <c r="T112"/>
      <c r="U112"/>
    </row>
    <row r="113" spans="1:21" x14ac:dyDescent="0.25">
      <c r="A113" s="2" t="s">
        <v>74</v>
      </c>
      <c r="B113" s="2" t="s">
        <v>91</v>
      </c>
      <c r="C113" s="20">
        <v>134.47</v>
      </c>
      <c r="D113" s="15">
        <f t="shared" ref="D113:O113" si="35">D33*$C$113</f>
        <v>11604.761000000002</v>
      </c>
      <c r="E113" s="15">
        <f t="shared" si="35"/>
        <v>9412.9</v>
      </c>
      <c r="F113" s="15">
        <f t="shared" si="35"/>
        <v>10085.25</v>
      </c>
      <c r="G113" s="15">
        <f t="shared" si="35"/>
        <v>10085.25</v>
      </c>
      <c r="H113" s="15">
        <f t="shared" si="35"/>
        <v>10085.25</v>
      </c>
      <c r="I113" s="15">
        <f t="shared" si="35"/>
        <v>10085.25</v>
      </c>
      <c r="J113" s="15">
        <f t="shared" si="35"/>
        <v>7395.85</v>
      </c>
      <c r="K113" s="15">
        <f t="shared" si="35"/>
        <v>4706.45</v>
      </c>
      <c r="L113" s="15">
        <f t="shared" si="35"/>
        <v>4706.45</v>
      </c>
      <c r="M113" s="15">
        <f t="shared" si="35"/>
        <v>4706.45</v>
      </c>
      <c r="N113" s="15">
        <f t="shared" si="35"/>
        <v>4706.45</v>
      </c>
      <c r="O113" s="15">
        <f t="shared" si="35"/>
        <v>4706.45</v>
      </c>
      <c r="Q113"/>
      <c r="U113"/>
    </row>
    <row r="114" spans="1:21" x14ac:dyDescent="0.25">
      <c r="A114" s="7" t="s">
        <v>72</v>
      </c>
      <c r="B114" s="2" t="s">
        <v>91</v>
      </c>
      <c r="C114" s="20">
        <v>134.47</v>
      </c>
      <c r="D114" s="16">
        <f t="shared" ref="D114:O114" si="36">D34*$C$114</f>
        <v>3146.598</v>
      </c>
      <c r="E114" s="16">
        <f t="shared" si="36"/>
        <v>7395.85</v>
      </c>
      <c r="F114" s="16">
        <f t="shared" si="36"/>
        <v>9412.9</v>
      </c>
      <c r="G114" s="16">
        <f t="shared" si="36"/>
        <v>12102.3</v>
      </c>
      <c r="H114" s="16">
        <f t="shared" si="36"/>
        <v>17481.099999999999</v>
      </c>
      <c r="I114" s="16">
        <f t="shared" si="36"/>
        <v>22859.9</v>
      </c>
      <c r="J114" s="16">
        <f t="shared" si="36"/>
        <v>30928.1</v>
      </c>
      <c r="K114" s="16">
        <f t="shared" si="36"/>
        <v>38996.300000000003</v>
      </c>
      <c r="L114" s="16">
        <f t="shared" si="36"/>
        <v>44375.1</v>
      </c>
      <c r="M114" s="16">
        <f t="shared" si="36"/>
        <v>49753.9</v>
      </c>
      <c r="N114" s="16">
        <f t="shared" si="36"/>
        <v>55132.7</v>
      </c>
      <c r="O114" s="16">
        <f t="shared" si="36"/>
        <v>60511.5</v>
      </c>
      <c r="Q114"/>
      <c r="R114"/>
      <c r="S114"/>
      <c r="T114"/>
      <c r="U114"/>
    </row>
    <row r="115" spans="1:21" x14ac:dyDescent="0.25">
      <c r="A115" s="2" t="s">
        <v>9</v>
      </c>
      <c r="B115" s="2" t="s">
        <v>39</v>
      </c>
      <c r="C115" s="173">
        <v>3600.0008440447891</v>
      </c>
      <c r="D115" s="15">
        <f t="shared" ref="D115:O115" si="37">D35*$C$115*1000/10^6</f>
        <v>0</v>
      </c>
      <c r="E115" s="15">
        <f t="shared" si="37"/>
        <v>0</v>
      </c>
      <c r="F115" s="15">
        <f t="shared" si="37"/>
        <v>3240.0007596403102</v>
      </c>
      <c r="G115" s="15">
        <f t="shared" si="37"/>
        <v>3240.0007596403102</v>
      </c>
      <c r="H115" s="15">
        <f t="shared" si="37"/>
        <v>3240.0007596403102</v>
      </c>
      <c r="I115" s="15">
        <f t="shared" si="37"/>
        <v>3240.0007596403102</v>
      </c>
      <c r="J115" s="15">
        <f t="shared" si="37"/>
        <v>3240.0007596403102</v>
      </c>
      <c r="K115" s="15">
        <f t="shared" si="37"/>
        <v>3240.0007596403102</v>
      </c>
      <c r="L115" s="15">
        <f t="shared" si="37"/>
        <v>3240.0007596403102</v>
      </c>
      <c r="M115" s="15">
        <f t="shared" si="37"/>
        <v>3240.0007596403102</v>
      </c>
      <c r="N115" s="15">
        <f t="shared" si="37"/>
        <v>3240.0007596403102</v>
      </c>
      <c r="O115" s="15">
        <f t="shared" si="37"/>
        <v>3240.0007596403102</v>
      </c>
      <c r="Q115"/>
      <c r="R115"/>
      <c r="S115"/>
      <c r="T115"/>
      <c r="U115"/>
    </row>
    <row r="116" spans="1:21" ht="18" customHeight="1" x14ac:dyDescent="0.25">
      <c r="A116" s="66" t="s">
        <v>50</v>
      </c>
      <c r="B116" s="66" t="s">
        <v>38</v>
      </c>
      <c r="C116" s="67">
        <v>134.47</v>
      </c>
      <c r="D116" s="49">
        <f>D7*$C$116</f>
        <v>509197.549</v>
      </c>
      <c r="E116" s="49">
        <f>E7*$C$116</f>
        <v>509390.82609274989</v>
      </c>
      <c r="F116" s="49">
        <f>F7*$C$116</f>
        <v>517031.68848414108</v>
      </c>
      <c r="G116" s="49">
        <f>G7*$C$116</f>
        <v>524787.16381140321</v>
      </c>
      <c r="H116" s="49">
        <f>H7*$C$116</f>
        <v>532658.97126857413</v>
      </c>
      <c r="I116" s="49">
        <f>I7*$C$116</f>
        <v>540648.85583760263</v>
      </c>
      <c r="J116" s="49">
        <f>J7*$C$116</f>
        <v>548758.58867516671</v>
      </c>
      <c r="K116" s="49">
        <f>K7*$C$116</f>
        <v>556989.96750529413</v>
      </c>
      <c r="L116" s="49">
        <f>L7*$C$116</f>
        <v>565344.81701787352</v>
      </c>
      <c r="M116" s="49">
        <f>M7*$C$116</f>
        <v>573824.98927314149</v>
      </c>
      <c r="N116" s="49">
        <f>N7*$C$116</f>
        <v>582432.36411223863</v>
      </c>
      <c r="O116" s="49">
        <f>O7*$C$116</f>
        <v>591168.84957392211</v>
      </c>
      <c r="Q116"/>
      <c r="R116"/>
      <c r="S116"/>
      <c r="T116"/>
      <c r="U116"/>
    </row>
    <row r="117" spans="1:21" x14ac:dyDescent="0.25">
      <c r="A117" s="66" t="s">
        <v>49</v>
      </c>
      <c r="B117" s="66" t="s">
        <v>38</v>
      </c>
      <c r="C117" s="67">
        <v>134.47</v>
      </c>
      <c r="D117" s="49">
        <f t="shared" ref="D117:O117" si="38">D116-SUM(D111:D115)</f>
        <v>471505.35327550571</v>
      </c>
      <c r="E117" s="49">
        <f t="shared" si="38"/>
        <v>457010.27760316804</v>
      </c>
      <c r="F117" s="49">
        <f t="shared" si="38"/>
        <v>445610.01705278881</v>
      </c>
      <c r="G117" s="49">
        <f t="shared" si="38"/>
        <v>440283.5021411124</v>
      </c>
      <c r="H117" s="49">
        <f t="shared" si="38"/>
        <v>437660.87073445204</v>
      </c>
      <c r="I117" s="49">
        <f t="shared" si="38"/>
        <v>435085.95530348056</v>
      </c>
      <c r="J117" s="49">
        <f t="shared" si="38"/>
        <v>432630.88814104459</v>
      </c>
      <c r="K117" s="49">
        <f t="shared" si="38"/>
        <v>421887.8072552142</v>
      </c>
      <c r="L117" s="49">
        <f t="shared" si="38"/>
        <v>418381.35676779365</v>
      </c>
      <c r="M117" s="49">
        <f t="shared" si="38"/>
        <v>415000.22902306158</v>
      </c>
      <c r="N117" s="49">
        <f t="shared" si="38"/>
        <v>417598.14414620091</v>
      </c>
      <c r="O117" s="49">
        <f t="shared" si="38"/>
        <v>420955.8296078844</v>
      </c>
      <c r="Q117"/>
      <c r="R117"/>
      <c r="S117"/>
      <c r="T117"/>
      <c r="U117"/>
    </row>
    <row r="118" spans="1:21" x14ac:dyDescent="0.25">
      <c r="A118" s="79"/>
      <c r="B118" s="79"/>
      <c r="C118" s="80"/>
      <c r="D118" s="81"/>
      <c r="E118" s="81"/>
      <c r="F118" s="81"/>
      <c r="G118" s="81"/>
      <c r="H118" s="81"/>
      <c r="I118" s="81"/>
      <c r="J118" s="81"/>
      <c r="K118" s="45"/>
      <c r="Q118"/>
      <c r="R118"/>
      <c r="S118"/>
      <c r="T118"/>
      <c r="U118"/>
    </row>
    <row r="119" spans="1:21" x14ac:dyDescent="0.25">
      <c r="A119" s="79"/>
      <c r="B119" s="79"/>
      <c r="C119" s="80"/>
      <c r="D119" s="81"/>
      <c r="E119" s="81"/>
      <c r="F119" s="81"/>
      <c r="G119" s="81"/>
      <c r="H119" s="81"/>
      <c r="I119" s="81"/>
      <c r="J119" s="81"/>
      <c r="K119" s="45"/>
      <c r="P119"/>
      <c r="Q119"/>
      <c r="R119"/>
      <c r="S119"/>
      <c r="T119"/>
      <c r="U119"/>
    </row>
    <row r="120" spans="1:21" x14ac:dyDescent="0.25">
      <c r="A120" s="152" t="s">
        <v>21</v>
      </c>
      <c r="B120" s="152"/>
      <c r="C120" s="152" t="s">
        <v>22</v>
      </c>
      <c r="D120" s="152"/>
      <c r="F120" s="124"/>
      <c r="G120" s="124"/>
      <c r="H120" s="124"/>
      <c r="I120" s="124"/>
      <c r="J120" s="124"/>
      <c r="K120" s="124"/>
      <c r="L120" s="124"/>
      <c r="M120" s="124"/>
      <c r="N120" s="124"/>
      <c r="O120"/>
      <c r="P120"/>
      <c r="Q120"/>
      <c r="R120"/>
      <c r="S120"/>
      <c r="T120"/>
      <c r="U120"/>
    </row>
    <row r="121" spans="1:21" ht="30" x14ac:dyDescent="0.25">
      <c r="A121" s="2" t="s">
        <v>14</v>
      </c>
      <c r="B121" s="8" t="s">
        <v>15</v>
      </c>
      <c r="C121" s="2" t="s">
        <v>14</v>
      </c>
      <c r="D121" s="8" t="s">
        <v>16</v>
      </c>
      <c r="L121"/>
      <c r="M121"/>
      <c r="N121"/>
      <c r="O121"/>
      <c r="P121"/>
      <c r="Q121"/>
      <c r="R121"/>
      <c r="S121"/>
      <c r="T121"/>
      <c r="U121"/>
    </row>
    <row r="122" spans="1:21" x14ac:dyDescent="0.25">
      <c r="A122" s="5" t="s">
        <v>17</v>
      </c>
      <c r="B122" s="149">
        <v>1</v>
      </c>
      <c r="C122" s="5" t="s">
        <v>23</v>
      </c>
      <c r="D122" s="149">
        <v>1</v>
      </c>
      <c r="L122"/>
      <c r="M122"/>
      <c r="N122"/>
      <c r="O122"/>
      <c r="P122"/>
      <c r="Q122"/>
      <c r="R122"/>
      <c r="S122"/>
      <c r="T122"/>
      <c r="U122"/>
    </row>
    <row r="123" spans="1:21" x14ac:dyDescent="0.25">
      <c r="A123" s="5" t="s">
        <v>87</v>
      </c>
      <c r="B123" s="149">
        <v>1</v>
      </c>
      <c r="C123" s="5" t="s">
        <v>24</v>
      </c>
      <c r="D123" s="149">
        <v>0.9</v>
      </c>
      <c r="L123"/>
      <c r="M123"/>
      <c r="N123"/>
      <c r="O123"/>
      <c r="P123"/>
      <c r="Q123"/>
      <c r="R123"/>
      <c r="S123"/>
      <c r="T123"/>
      <c r="U123"/>
    </row>
    <row r="124" spans="1:21" x14ac:dyDescent="0.25">
      <c r="A124" s="5" t="s">
        <v>19</v>
      </c>
      <c r="B124" s="149">
        <v>3.4</v>
      </c>
      <c r="C124" s="5" t="s">
        <v>19</v>
      </c>
      <c r="D124" s="149">
        <v>3</v>
      </c>
      <c r="L124"/>
      <c r="M124"/>
      <c r="N124" t="s">
        <v>57</v>
      </c>
      <c r="O124"/>
      <c r="P124"/>
      <c r="Q124"/>
      <c r="R124"/>
      <c r="S124"/>
      <c r="T124"/>
      <c r="U124"/>
    </row>
    <row r="125" spans="1:21" x14ac:dyDescent="0.25">
      <c r="A125" s="5" t="s">
        <v>20</v>
      </c>
      <c r="B125" s="149">
        <v>2.5</v>
      </c>
      <c r="C125" s="5" t="s">
        <v>20</v>
      </c>
      <c r="D125" s="149">
        <v>1.9</v>
      </c>
      <c r="L125"/>
      <c r="M125"/>
      <c r="N125"/>
      <c r="O125"/>
      <c r="P125"/>
      <c r="Q125"/>
      <c r="R125"/>
      <c r="S125"/>
      <c r="T125"/>
      <c r="U125"/>
    </row>
    <row r="126" spans="1:21" x14ac:dyDescent="0.25">
      <c r="L126"/>
      <c r="M126"/>
      <c r="N126"/>
      <c r="O126"/>
      <c r="P126"/>
      <c r="Q126"/>
      <c r="R126"/>
      <c r="S126"/>
      <c r="T126"/>
      <c r="U126"/>
    </row>
    <row r="127" spans="1:21" x14ac:dyDescent="0.25">
      <c r="L127"/>
      <c r="M127"/>
      <c r="N127"/>
      <c r="O127"/>
      <c r="P127"/>
      <c r="Q127"/>
      <c r="R127"/>
      <c r="S127"/>
      <c r="T127"/>
      <c r="U127"/>
    </row>
    <row r="128" spans="1:21" x14ac:dyDescent="0.25">
      <c r="L128"/>
      <c r="M128"/>
      <c r="N128"/>
      <c r="O128"/>
      <c r="P128"/>
      <c r="Q128"/>
      <c r="R128"/>
      <c r="S128"/>
      <c r="T128"/>
      <c r="U128"/>
    </row>
    <row r="129" spans="12:21" x14ac:dyDescent="0.25">
      <c r="L129"/>
      <c r="M129"/>
      <c r="N129"/>
      <c r="O129"/>
      <c r="P129"/>
      <c r="Q129"/>
      <c r="R129"/>
      <c r="S129"/>
      <c r="T129"/>
      <c r="U129"/>
    </row>
    <row r="130" spans="12:21" x14ac:dyDescent="0.25">
      <c r="L130"/>
      <c r="M130"/>
      <c r="N130"/>
      <c r="O130"/>
      <c r="P130"/>
      <c r="Q130"/>
      <c r="R130"/>
      <c r="S130"/>
      <c r="T130"/>
      <c r="U130"/>
    </row>
    <row r="131" spans="12:21" x14ac:dyDescent="0.25">
      <c r="L131"/>
      <c r="M131"/>
      <c r="N131"/>
      <c r="O131"/>
      <c r="P131"/>
      <c r="Q131"/>
      <c r="R131"/>
      <c r="S131"/>
      <c r="T131"/>
      <c r="U131"/>
    </row>
    <row r="132" spans="12:21" x14ac:dyDescent="0.25">
      <c r="L132"/>
      <c r="M132"/>
      <c r="N132"/>
      <c r="O132"/>
      <c r="P132"/>
      <c r="Q132"/>
      <c r="R132"/>
      <c r="S132"/>
      <c r="T132"/>
      <c r="U132"/>
    </row>
    <row r="133" spans="12:21" x14ac:dyDescent="0.25">
      <c r="L133"/>
      <c r="M133"/>
      <c r="N133"/>
      <c r="O133"/>
      <c r="P133"/>
      <c r="Q133"/>
      <c r="R133"/>
      <c r="S133"/>
      <c r="T133"/>
      <c r="U133"/>
    </row>
    <row r="134" spans="12:21" x14ac:dyDescent="0.25">
      <c r="L134"/>
      <c r="M134"/>
      <c r="N134"/>
      <c r="O134"/>
      <c r="P134"/>
      <c r="Q134"/>
      <c r="R134"/>
      <c r="S134"/>
      <c r="T134"/>
      <c r="U134"/>
    </row>
    <row r="135" spans="12:21" x14ac:dyDescent="0.25">
      <c r="L135"/>
      <c r="M135"/>
      <c r="N135"/>
      <c r="O135"/>
      <c r="P135"/>
      <c r="Q135"/>
      <c r="R135"/>
      <c r="S135"/>
      <c r="T135"/>
      <c r="U135"/>
    </row>
    <row r="136" spans="12:21" x14ac:dyDescent="0.25">
      <c r="L136"/>
      <c r="M136"/>
      <c r="N136"/>
      <c r="O136"/>
      <c r="P136"/>
      <c r="Q136"/>
      <c r="R136"/>
      <c r="S136"/>
      <c r="T136"/>
      <c r="U136"/>
    </row>
    <row r="137" spans="12:21" x14ac:dyDescent="0.25">
      <c r="L137"/>
      <c r="M137"/>
      <c r="N137"/>
      <c r="O137"/>
      <c r="P137"/>
      <c r="Q137"/>
      <c r="R137"/>
      <c r="S137"/>
      <c r="T137"/>
      <c r="U137"/>
    </row>
    <row r="138" spans="12:21" x14ac:dyDescent="0.25">
      <c r="L138"/>
      <c r="M138"/>
      <c r="N138"/>
      <c r="O138"/>
      <c r="P138"/>
      <c r="Q138"/>
      <c r="R138"/>
      <c r="S138"/>
      <c r="T138"/>
      <c r="U138"/>
    </row>
    <row r="139" spans="12:21" x14ac:dyDescent="0.25">
      <c r="L139"/>
      <c r="M139"/>
      <c r="N139"/>
      <c r="O139"/>
      <c r="P139"/>
      <c r="Q139"/>
      <c r="R139"/>
      <c r="S139"/>
      <c r="T139"/>
      <c r="U139"/>
    </row>
    <row r="140" spans="12:21" x14ac:dyDescent="0.25">
      <c r="L140"/>
      <c r="M140"/>
      <c r="N140"/>
      <c r="O140"/>
      <c r="P140"/>
      <c r="Q140"/>
      <c r="R140"/>
      <c r="S140"/>
      <c r="T140"/>
      <c r="U140"/>
    </row>
    <row r="141" spans="12:21" x14ac:dyDescent="0.25">
      <c r="L141"/>
      <c r="M141"/>
      <c r="N141"/>
      <c r="O141"/>
      <c r="P141"/>
      <c r="Q141"/>
      <c r="R141"/>
      <c r="S141"/>
      <c r="T141"/>
      <c r="U141"/>
    </row>
    <row r="142" spans="12:21" x14ac:dyDescent="0.25">
      <c r="L142"/>
      <c r="M142"/>
      <c r="N142"/>
      <c r="O142"/>
      <c r="P142"/>
      <c r="Q142"/>
      <c r="R142"/>
      <c r="S142"/>
      <c r="T142"/>
      <c r="U142"/>
    </row>
    <row r="143" spans="12:21" x14ac:dyDescent="0.25">
      <c r="L143"/>
      <c r="M143"/>
      <c r="N143"/>
      <c r="O143"/>
      <c r="P143"/>
      <c r="Q143"/>
      <c r="R143"/>
      <c r="S143"/>
      <c r="T143"/>
      <c r="U143"/>
    </row>
    <row r="144" spans="12:21" x14ac:dyDescent="0.25">
      <c r="L144"/>
      <c r="M144"/>
      <c r="N144"/>
      <c r="O144"/>
      <c r="P144"/>
      <c r="Q144"/>
      <c r="R144"/>
      <c r="S144"/>
      <c r="T144"/>
      <c r="U144"/>
    </row>
    <row r="145" spans="12:18" x14ac:dyDescent="0.25">
      <c r="L145"/>
      <c r="M145"/>
      <c r="N145"/>
      <c r="O145"/>
      <c r="P145"/>
      <c r="Q145"/>
      <c r="R145"/>
    </row>
    <row r="146" spans="12:18" x14ac:dyDescent="0.25">
      <c r="L146"/>
      <c r="M146"/>
      <c r="N146"/>
      <c r="O146"/>
    </row>
    <row r="147" spans="12:18" x14ac:dyDescent="0.25">
      <c r="L147"/>
      <c r="M147"/>
    </row>
    <row r="148" spans="12:18" x14ac:dyDescent="0.25">
      <c r="L148"/>
      <c r="M148"/>
    </row>
    <row r="149" spans="12:18" x14ac:dyDescent="0.25">
      <c r="L149"/>
      <c r="M149"/>
    </row>
    <row r="150" spans="12:18" x14ac:dyDescent="0.25">
      <c r="L150"/>
    </row>
  </sheetData>
  <mergeCells count="6">
    <mergeCell ref="B1:O1"/>
    <mergeCell ref="A13:B13"/>
    <mergeCell ref="D43:O43"/>
    <mergeCell ref="D63:O63"/>
    <mergeCell ref="A120:B120"/>
    <mergeCell ref="C120:D120"/>
  </mergeCells>
  <pageMargins left="0.7" right="0.7" top="0.75" bottom="0.75" header="0.3" footer="0.3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ISOR Case</vt:lpstr>
      <vt:lpstr>April 3 Workshop Case</vt:lpstr>
      <vt:lpstr>Scenario w Prop. 15day 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2015-04-01T22:31:20Z</dcterms:created>
  <dcterms:modified xsi:type="dcterms:W3CDTF">2015-05-21T23:10:37Z</dcterms:modified>
</cp:coreProperties>
</file>